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5390" activeTab="1"/>
  </bookViews>
  <sheets>
    <sheet name="Matrix &amp; data" sheetId="2" r:id="rId1"/>
    <sheet name="Matrix - score" sheetId="1" r:id="rId2"/>
    <sheet name="Bruto toegevoegde waarde" sheetId="6" r:id="rId3"/>
    <sheet name="Data - samenstelling" sheetId="3" r:id="rId4"/>
    <sheet name="Data - kosten &amp; opbrengsten" sheetId="4" r:id="rId5"/>
    <sheet name="CBS Data" sheetId="5" r:id="rId6"/>
  </sheets>
  <definedNames>
    <definedName name="_xlnm._FilterDatabase" localSheetId="1" hidden="1">'Matrix - score'!$A$5:$AD$16</definedName>
    <definedName name="_xlnm.Print_Area" localSheetId="1">'Matrix - score'!$A$1:$AD$43</definedName>
    <definedName name="Score_1">'Matrix - score'!$B$32</definedName>
    <definedName name="Score_2">'Matrix - score'!$C$32</definedName>
    <definedName name="Score_3">'Matrix - score'!$D$32</definedName>
    <definedName name="Score_4">'Matrix - score'!$E$32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9" i="1" l="1"/>
  <c r="AC18" i="1"/>
  <c r="Z18" i="1"/>
  <c r="Z19" i="1"/>
  <c r="U18" i="1"/>
  <c r="U19" i="1"/>
  <c r="N19" i="1"/>
  <c r="N18" i="1"/>
  <c r="Y15" i="1" l="1"/>
  <c r="X15" i="1"/>
  <c r="W15" i="1"/>
  <c r="U15" i="1"/>
  <c r="Z15" i="1"/>
  <c r="AC15" i="1"/>
  <c r="AD14" i="1"/>
  <c r="AC14" i="1"/>
  <c r="AB14" i="1"/>
  <c r="AA14" i="1"/>
  <c r="Z14" i="1"/>
  <c r="W14" i="1"/>
  <c r="X14" i="1"/>
  <c r="Y14" i="1"/>
  <c r="V14" i="1"/>
  <c r="U14" i="1"/>
  <c r="T15" i="1"/>
  <c r="T14" i="1"/>
  <c r="S15" i="1"/>
  <c r="S14" i="1"/>
  <c r="R15" i="1"/>
  <c r="R14" i="1"/>
  <c r="Q15" i="1"/>
  <c r="Q14" i="1"/>
  <c r="P15" i="1"/>
  <c r="P14" i="1"/>
  <c r="O14" i="1"/>
  <c r="N15" i="1"/>
  <c r="N14" i="1"/>
  <c r="M15" i="1"/>
  <c r="M14" i="1"/>
  <c r="K14" i="1"/>
  <c r="L14" i="1"/>
  <c r="J14" i="1"/>
  <c r="J15" i="1"/>
  <c r="K15" i="1"/>
  <c r="L15" i="1"/>
  <c r="I14" i="1"/>
  <c r="I15" i="1"/>
  <c r="H14" i="1"/>
  <c r="H15" i="1"/>
  <c r="F15" i="1"/>
  <c r="E15" i="1"/>
  <c r="G15" i="1"/>
  <c r="E14" i="1"/>
  <c r="F14" i="1"/>
  <c r="G14" i="1"/>
  <c r="D15" i="1"/>
  <c r="D14" i="1"/>
  <c r="B15" i="1"/>
  <c r="C15" i="1"/>
  <c r="C14" i="1"/>
  <c r="B14" i="1"/>
  <c r="Z9" i="1"/>
  <c r="AA9" i="1"/>
  <c r="AB9" i="1"/>
  <c r="AC9" i="1"/>
  <c r="AD9" i="1"/>
  <c r="Y9" i="1"/>
  <c r="X9" i="1"/>
  <c r="W9" i="1"/>
  <c r="V9" i="1"/>
  <c r="U9" i="1"/>
  <c r="T9" i="1"/>
  <c r="S9" i="1"/>
  <c r="R9" i="1"/>
  <c r="Q9" i="1"/>
  <c r="P9" i="1"/>
  <c r="O9" i="1"/>
  <c r="E9" i="1"/>
  <c r="F9" i="1"/>
  <c r="G9" i="1"/>
  <c r="H9" i="1"/>
  <c r="I9" i="1"/>
  <c r="J9" i="1"/>
  <c r="K9" i="1"/>
  <c r="L9" i="1"/>
  <c r="M9" i="1"/>
  <c r="D9" i="1"/>
  <c r="N9" i="1"/>
  <c r="C9" i="1"/>
  <c r="B9" i="1"/>
  <c r="Y8" i="1"/>
  <c r="Z8" i="1"/>
  <c r="AA8" i="1"/>
  <c r="AB8" i="1"/>
  <c r="AC8" i="1"/>
  <c r="AD8" i="1"/>
  <c r="X8" i="1"/>
  <c r="W8" i="1"/>
  <c r="U8" i="1"/>
  <c r="V8" i="1"/>
  <c r="T8" i="1"/>
  <c r="R8" i="1"/>
  <c r="S8" i="1"/>
  <c r="Q8" i="1"/>
  <c r="P8" i="1"/>
  <c r="O8" i="1"/>
  <c r="N8" i="1"/>
  <c r="M8" i="1"/>
  <c r="K8" i="1"/>
  <c r="L8" i="1"/>
  <c r="I8" i="1"/>
  <c r="J8" i="1"/>
  <c r="H8" i="1"/>
  <c r="G8" i="1"/>
  <c r="E8" i="1"/>
  <c r="F8" i="1"/>
  <c r="D8" i="1"/>
  <c r="C8" i="1"/>
  <c r="B8" i="1"/>
  <c r="A14" i="1"/>
  <c r="A15" i="1"/>
  <c r="A16" i="1"/>
  <c r="A11" i="1"/>
  <c r="A12" i="1"/>
  <c r="A13" i="1"/>
  <c r="A8" i="1"/>
  <c r="A9" i="1"/>
  <c r="A10" i="1"/>
  <c r="A6" i="1"/>
  <c r="AC26" i="1" l="1"/>
  <c r="Z26" i="1"/>
  <c r="Y26" i="1"/>
  <c r="W26" i="1"/>
  <c r="X26" i="1"/>
  <c r="U26" i="1"/>
  <c r="T26" i="1"/>
  <c r="S26" i="1"/>
  <c r="R26" i="1"/>
  <c r="R27" i="1" s="1"/>
  <c r="Q26" i="1"/>
  <c r="P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E249" i="6" l="1"/>
  <c r="E238" i="6"/>
  <c r="E250" i="6"/>
  <c r="E260" i="6"/>
  <c r="E259" i="6"/>
  <c r="E112" i="6"/>
  <c r="E131" i="6"/>
  <c r="E130" i="6"/>
  <c r="E196" i="6"/>
  <c r="E197" i="6"/>
  <c r="E229" i="6"/>
  <c r="E228" i="6"/>
  <c r="E227" i="6"/>
  <c r="C240" i="6"/>
  <c r="E240" i="6" s="1"/>
  <c r="C261" i="6"/>
  <c r="E261" i="6" s="1"/>
  <c r="E258" i="6"/>
  <c r="C251" i="6"/>
  <c r="E251" i="6" s="1"/>
  <c r="E248" i="6"/>
  <c r="E247" i="6"/>
  <c r="E239" i="6"/>
  <c r="E237" i="6"/>
  <c r="D217" i="6"/>
  <c r="C219" i="6"/>
  <c r="E264" i="6" l="1"/>
  <c r="AC25" i="1" s="1"/>
  <c r="AC27" i="1" s="1"/>
  <c r="E243" i="6"/>
  <c r="Y25" i="1" s="1"/>
  <c r="Y27" i="1" s="1"/>
  <c r="E254" i="6"/>
  <c r="Z25" i="1" s="1"/>
  <c r="Z27" i="1" s="1"/>
  <c r="C230" i="6" l="1"/>
  <c r="E230" i="6" s="1"/>
  <c r="E226" i="6"/>
  <c r="E219" i="6"/>
  <c r="E218" i="6"/>
  <c r="E217" i="6"/>
  <c r="E216" i="6"/>
  <c r="C209" i="6"/>
  <c r="E209" i="6" s="1"/>
  <c r="E208" i="6"/>
  <c r="E207" i="6"/>
  <c r="E206" i="6"/>
  <c r="E205" i="6"/>
  <c r="E187" i="6"/>
  <c r="E186" i="6"/>
  <c r="E177" i="6"/>
  <c r="E176" i="6"/>
  <c r="E175" i="6"/>
  <c r="E174" i="6"/>
  <c r="E165" i="6"/>
  <c r="E164" i="6"/>
  <c r="E155" i="6"/>
  <c r="E154" i="6"/>
  <c r="E153" i="6"/>
  <c r="E144" i="6"/>
  <c r="E143" i="6"/>
  <c r="E142" i="6"/>
  <c r="E141" i="6"/>
  <c r="E132" i="6"/>
  <c r="E122" i="6"/>
  <c r="E121" i="6"/>
  <c r="E111" i="6"/>
  <c r="E102" i="6"/>
  <c r="E101" i="6"/>
  <c r="E100" i="6"/>
  <c r="E99" i="6"/>
  <c r="E90" i="6"/>
  <c r="E89" i="6"/>
  <c r="E88" i="6"/>
  <c r="E87" i="6"/>
  <c r="E78" i="6"/>
  <c r="E77" i="6"/>
  <c r="E76" i="6"/>
  <c r="E75" i="6"/>
  <c r="E66" i="6"/>
  <c r="E65" i="6"/>
  <c r="E64" i="6"/>
  <c r="E63" i="6"/>
  <c r="E54" i="6"/>
  <c r="E53" i="6"/>
  <c r="E44" i="6"/>
  <c r="E43" i="6"/>
  <c r="E42" i="6"/>
  <c r="E34" i="6"/>
  <c r="E33" i="6"/>
  <c r="E32" i="6"/>
  <c r="E31" i="6"/>
  <c r="E22" i="6"/>
  <c r="E21" i="6"/>
  <c r="E20" i="6"/>
  <c r="E19" i="6"/>
  <c r="E10" i="6"/>
  <c r="E9" i="6"/>
  <c r="E8" i="6"/>
  <c r="E7" i="6"/>
  <c r="E6" i="6"/>
  <c r="C198" i="6"/>
  <c r="E198" i="6" s="1"/>
  <c r="E195" i="6"/>
  <c r="C188" i="6"/>
  <c r="E188" i="6" s="1"/>
  <c r="E185" i="6"/>
  <c r="C178" i="6"/>
  <c r="E178" i="6" s="1"/>
  <c r="E173" i="6"/>
  <c r="E233" i="6" l="1"/>
  <c r="W25" i="1" s="1"/>
  <c r="W27" i="1" s="1"/>
  <c r="E222" i="6"/>
  <c r="X25" i="1" s="1"/>
  <c r="X27" i="1" s="1"/>
  <c r="E212" i="6"/>
  <c r="U25" i="1" s="1"/>
  <c r="U27" i="1" s="1"/>
  <c r="E201" i="6"/>
  <c r="T25" i="1" s="1"/>
  <c r="T27" i="1" s="1"/>
  <c r="E191" i="6"/>
  <c r="S25" i="1" s="1"/>
  <c r="S27" i="1" s="1"/>
  <c r="E181" i="6"/>
  <c r="R25" i="1" s="1"/>
  <c r="C166" i="6"/>
  <c r="E166" i="6" s="1"/>
  <c r="E163" i="6"/>
  <c r="C156" i="6"/>
  <c r="E156" i="6" s="1"/>
  <c r="E152" i="6"/>
  <c r="C145" i="6"/>
  <c r="E145" i="6" s="1"/>
  <c r="E140" i="6"/>
  <c r="C133" i="6"/>
  <c r="E133" i="6" s="1"/>
  <c r="C11" i="6"/>
  <c r="E11" i="6" s="1"/>
  <c r="C103" i="6"/>
  <c r="E103" i="6" s="1"/>
  <c r="E98" i="6"/>
  <c r="C91" i="6"/>
  <c r="E91" i="6" s="1"/>
  <c r="E74" i="6"/>
  <c r="C79" i="6"/>
  <c r="E79" i="6" s="1"/>
  <c r="E86" i="6"/>
  <c r="E110" i="6"/>
  <c r="C113" i="6"/>
  <c r="E113" i="6" s="1"/>
  <c r="E120" i="6"/>
  <c r="C123" i="6"/>
  <c r="E123" i="6" s="1"/>
  <c r="C67" i="6"/>
  <c r="E67" i="6" s="1"/>
  <c r="E62" i="6"/>
  <c r="C55" i="6"/>
  <c r="E55" i="6" s="1"/>
  <c r="E52" i="6"/>
  <c r="C45" i="6"/>
  <c r="E45" i="6" s="1"/>
  <c r="C35" i="6"/>
  <c r="E35" i="6" s="1"/>
  <c r="E30" i="6"/>
  <c r="C23" i="6"/>
  <c r="E23" i="6" s="1"/>
  <c r="E18" i="6"/>
  <c r="E5" i="6"/>
  <c r="E169" i="6" l="1"/>
  <c r="Q25" i="1" s="1"/>
  <c r="Q27" i="1" s="1"/>
  <c r="E136" i="6"/>
  <c r="M25" i="1" s="1"/>
  <c r="M27" i="1" s="1"/>
  <c r="E148" i="6"/>
  <c r="N25" i="1" s="1"/>
  <c r="N27" i="1" s="1"/>
  <c r="E159" i="6"/>
  <c r="P25" i="1" s="1"/>
  <c r="P27" i="1" s="1"/>
  <c r="E106" i="6"/>
  <c r="J25" i="1" s="1"/>
  <c r="J27" i="1" s="1"/>
  <c r="E126" i="6"/>
  <c r="L25" i="1" s="1"/>
  <c r="L27" i="1" s="1"/>
  <c r="E82" i="6"/>
  <c r="H25" i="1" s="1"/>
  <c r="H27" i="1" s="1"/>
  <c r="E94" i="6"/>
  <c r="I25" i="1" s="1"/>
  <c r="I27" i="1" s="1"/>
  <c r="E70" i="6"/>
  <c r="G25" i="1" s="1"/>
  <c r="G27" i="1" s="1"/>
  <c r="E116" i="6"/>
  <c r="K25" i="1" s="1"/>
  <c r="K27" i="1" s="1"/>
  <c r="E58" i="6"/>
  <c r="F25" i="1" s="1"/>
  <c r="F27" i="1" s="1"/>
  <c r="E48" i="6"/>
  <c r="E25" i="1" s="1"/>
  <c r="E27" i="1" s="1"/>
  <c r="E26" i="6"/>
  <c r="C25" i="1" s="1"/>
  <c r="C27" i="1" s="1"/>
  <c r="E38" i="6"/>
  <c r="D25" i="1" s="1"/>
  <c r="D27" i="1" s="1"/>
  <c r="E14" i="6"/>
  <c r="B25" i="1" s="1"/>
  <c r="B27" i="1" s="1"/>
  <c r="AA16" i="1"/>
  <c r="W16" i="1"/>
  <c r="V16" i="1"/>
  <c r="O16" i="1"/>
  <c r="N16" i="1"/>
  <c r="I16" i="1"/>
  <c r="H16" i="1"/>
  <c r="D16" i="1"/>
  <c r="C16" i="1"/>
  <c r="B16" i="1"/>
  <c r="AD12" i="1"/>
  <c r="AB12" i="1"/>
  <c r="AA12" i="1"/>
  <c r="Y12" i="1"/>
  <c r="X12" i="1"/>
  <c r="W12" i="1"/>
  <c r="V12" i="1"/>
  <c r="P12" i="1"/>
  <c r="O12" i="1"/>
  <c r="F12" i="1"/>
  <c r="E12" i="1"/>
  <c r="D12" i="1"/>
  <c r="U11" i="1"/>
  <c r="Q11" i="1"/>
  <c r="K11" i="1"/>
  <c r="J11" i="1"/>
  <c r="E11" i="1"/>
  <c r="D11" i="1"/>
  <c r="AC7" i="1"/>
  <c r="Z7" i="1"/>
  <c r="Y7" i="1"/>
  <c r="X7" i="1"/>
  <c r="W7" i="1"/>
  <c r="U7" i="1"/>
  <c r="T7" i="1"/>
  <c r="S7" i="1"/>
  <c r="N7" i="1"/>
  <c r="H7" i="1"/>
  <c r="T6" i="1"/>
  <c r="S6" i="1"/>
  <c r="AD16" i="1"/>
  <c r="AC16" i="1"/>
  <c r="AB16" i="1"/>
  <c r="Z16" i="1"/>
  <c r="Y16" i="1"/>
  <c r="P16" i="1"/>
  <c r="G16" i="1"/>
  <c r="N13" i="1"/>
  <c r="C13" i="1"/>
  <c r="B13" i="1"/>
  <c r="AC12" i="1"/>
  <c r="Z12" i="1"/>
  <c r="M12" i="1"/>
  <c r="I12" i="1"/>
  <c r="H12" i="1"/>
  <c r="G12" i="1"/>
  <c r="AC11" i="1"/>
  <c r="Z11" i="1"/>
  <c r="Y11" i="1"/>
  <c r="X11" i="1"/>
  <c r="S11" i="1"/>
  <c r="M11" i="1"/>
  <c r="L11" i="1"/>
  <c r="I11" i="1"/>
  <c r="H11" i="1"/>
  <c r="I7" i="1"/>
  <c r="U6" i="1"/>
  <c r="J6" i="1"/>
  <c r="I6" i="1"/>
  <c r="X16" i="1"/>
  <c r="U16" i="1"/>
  <c r="T16" i="1"/>
  <c r="S16" i="1"/>
  <c r="R16" i="1"/>
  <c r="L16" i="1"/>
  <c r="K16" i="1"/>
  <c r="J16" i="1"/>
  <c r="F16" i="1"/>
  <c r="E16" i="1"/>
  <c r="R13" i="1"/>
  <c r="Q13" i="1"/>
  <c r="P13" i="1"/>
  <c r="M13" i="1"/>
  <c r="L13" i="1"/>
  <c r="K13" i="1"/>
  <c r="J13" i="1"/>
  <c r="I13" i="1"/>
  <c r="H13" i="1"/>
  <c r="G13" i="1"/>
  <c r="F13" i="1"/>
  <c r="E13" i="1"/>
  <c r="D13" i="1"/>
  <c r="N12" i="1"/>
  <c r="L12" i="1"/>
  <c r="K12" i="1"/>
  <c r="J12" i="1"/>
  <c r="C12" i="1"/>
  <c r="B12" i="1"/>
  <c r="W11" i="1"/>
  <c r="T11" i="1"/>
  <c r="P11" i="1"/>
  <c r="N11" i="1"/>
  <c r="F11" i="1"/>
  <c r="P7" i="1"/>
  <c r="J7" i="1"/>
  <c r="G7" i="1"/>
  <c r="F7" i="1"/>
  <c r="E7" i="1"/>
  <c r="D7" i="1"/>
  <c r="C7" i="1"/>
  <c r="B7" i="1"/>
  <c r="AC6" i="1"/>
  <c r="Z6" i="1"/>
  <c r="Y6" i="1"/>
  <c r="X6" i="1"/>
  <c r="W6" i="1"/>
  <c r="P6" i="1"/>
  <c r="M6" i="1"/>
  <c r="K6" i="1"/>
  <c r="H6" i="1"/>
  <c r="G6" i="1"/>
  <c r="F6" i="1"/>
  <c r="E6" i="1"/>
  <c r="C6" i="1"/>
  <c r="B6" i="1"/>
  <c r="Q16" i="1"/>
  <c r="M16" i="1"/>
  <c r="AD13" i="1"/>
  <c r="AC13" i="1"/>
  <c r="AB13" i="1"/>
  <c r="AA13" i="1"/>
  <c r="Z13" i="1"/>
  <c r="Y13" i="1"/>
  <c r="X13" i="1"/>
  <c r="W13" i="1"/>
  <c r="V13" i="1"/>
  <c r="U13" i="1"/>
  <c r="T13" i="1"/>
  <c r="S13" i="1"/>
  <c r="O13" i="1"/>
  <c r="U12" i="1"/>
  <c r="T12" i="1"/>
  <c r="S12" i="1"/>
  <c r="R12" i="1"/>
  <c r="Q12" i="1"/>
  <c r="R11" i="1"/>
  <c r="G11" i="1"/>
  <c r="C11" i="1"/>
  <c r="B11" i="1"/>
  <c r="R7" i="1"/>
  <c r="Q7" i="1"/>
  <c r="M7" i="1"/>
  <c r="L7" i="1"/>
  <c r="K7" i="1"/>
  <c r="R6" i="1"/>
  <c r="Q6" i="1"/>
  <c r="N6" i="1"/>
  <c r="L6" i="1"/>
  <c r="D6" i="1"/>
  <c r="F18" i="1" l="1"/>
  <c r="L18" i="1"/>
  <c r="M18" i="1"/>
  <c r="B18" i="1"/>
  <c r="P18" i="1"/>
  <c r="I18" i="1"/>
  <c r="Q18" i="1"/>
  <c r="C18" i="1"/>
  <c r="W18" i="1"/>
  <c r="J18" i="1"/>
  <c r="R18" i="1"/>
  <c r="E18" i="1"/>
  <c r="X18" i="1"/>
  <c r="Y18" i="1"/>
  <c r="G18" i="1"/>
  <c r="H18" i="1"/>
  <c r="S18" i="1"/>
  <c r="D18" i="1"/>
  <c r="K18" i="1"/>
  <c r="T18" i="1"/>
  <c r="B19" i="1"/>
  <c r="M90" i="1"/>
  <c r="I102" i="1" l="1"/>
  <c r="I105" i="1"/>
  <c r="I106" i="1" s="1"/>
  <c r="S19" i="1"/>
  <c r="C192" i="2"/>
  <c r="D92" i="2"/>
  <c r="R19" i="2" s="1"/>
  <c r="D25" i="5" l="1"/>
  <c r="D29" i="5"/>
  <c r="D17" i="5"/>
  <c r="D12" i="5"/>
  <c r="D16" i="5" s="1"/>
  <c r="D20" i="5" s="1"/>
  <c r="E12" i="5"/>
  <c r="E16" i="5" s="1"/>
  <c r="F7" i="5"/>
  <c r="E18" i="5" l="1"/>
  <c r="D18" i="5"/>
  <c r="E20" i="5"/>
  <c r="D13" i="5"/>
  <c r="Y19" i="1" l="1"/>
  <c r="X19" i="1"/>
  <c r="W19" i="1"/>
  <c r="T19" i="1"/>
  <c r="R19" i="1"/>
  <c r="Q19" i="1"/>
  <c r="P19" i="1"/>
  <c r="M19" i="1"/>
  <c r="L19" i="1"/>
  <c r="K19" i="1"/>
  <c r="J19" i="1"/>
  <c r="I19" i="1"/>
  <c r="H19" i="1"/>
  <c r="G19" i="1"/>
  <c r="F19" i="1"/>
  <c r="E19" i="1"/>
  <c r="D19" i="1"/>
  <c r="C19" i="1"/>
  <c r="T20" i="4" l="1"/>
  <c r="Q13" i="4"/>
  <c r="T13" i="4" s="1"/>
  <c r="T18" i="4"/>
  <c r="T19" i="4"/>
  <c r="Q12" i="4"/>
  <c r="T11" i="4"/>
  <c r="T10" i="4"/>
  <c r="T9" i="4"/>
  <c r="T8" i="4"/>
  <c r="I20" i="4" l="1"/>
  <c r="E20" i="4"/>
  <c r="I19" i="4"/>
  <c r="E19" i="4"/>
  <c r="I17" i="4"/>
  <c r="E17" i="4"/>
  <c r="I16" i="4"/>
  <c r="E16" i="4"/>
  <c r="I13" i="4"/>
  <c r="E13" i="4"/>
  <c r="I12" i="4"/>
  <c r="E12" i="4"/>
  <c r="I10" i="4"/>
  <c r="E10" i="4"/>
  <c r="I9" i="4"/>
  <c r="E9" i="4"/>
  <c r="D72" i="2" l="1"/>
  <c r="D88" i="2" l="1"/>
  <c r="T19" i="2" s="1"/>
  <c r="D86" i="2" l="1"/>
  <c r="B170" i="2"/>
  <c r="C170" i="2" s="1"/>
  <c r="D79" i="2"/>
  <c r="B169" i="2"/>
  <c r="C169" i="2" s="1"/>
  <c r="D70" i="2"/>
  <c r="D71" i="2"/>
  <c r="B182" i="2"/>
  <c r="B181" i="2"/>
  <c r="D75" i="2"/>
  <c r="D73" i="2" s="1"/>
  <c r="B187" i="2"/>
  <c r="B186" i="2"/>
  <c r="B188" i="2"/>
  <c r="D85" i="2"/>
  <c r="B178" i="2"/>
  <c r="B177" i="2"/>
  <c r="D81" i="2"/>
  <c r="D83" i="2"/>
  <c r="C152" i="2"/>
  <c r="C151" i="2"/>
  <c r="C150" i="2"/>
  <c r="C149" i="2"/>
  <c r="D146" i="2"/>
  <c r="F5" i="3"/>
  <c r="F4" i="3"/>
  <c r="C5" i="3"/>
  <c r="C4" i="3"/>
  <c r="K20" i="3"/>
  <c r="C7" i="3"/>
  <c r="K18" i="3"/>
  <c r="K19" i="3"/>
  <c r="K21" i="3"/>
  <c r="E18" i="3"/>
  <c r="E48" i="3"/>
  <c r="E19" i="3"/>
  <c r="D105" i="2" s="1"/>
  <c r="E49" i="3"/>
  <c r="E20" i="3"/>
  <c r="D106" i="2" s="1"/>
  <c r="E50" i="3"/>
  <c r="F18" i="3"/>
  <c r="F19" i="3"/>
  <c r="G18" i="3"/>
  <c r="G19" i="3"/>
  <c r="E51" i="3"/>
  <c r="R18" i="3"/>
  <c r="R19" i="3"/>
  <c r="R20" i="3"/>
  <c r="R21" i="3"/>
  <c r="J111" i="2"/>
  <c r="J113" i="2"/>
  <c r="J114" i="2"/>
  <c r="I109" i="2"/>
  <c r="J109" i="2" s="1"/>
  <c r="G41" i="3"/>
  <c r="E41" i="3"/>
  <c r="G42" i="3"/>
  <c r="E42" i="3"/>
  <c r="G43" i="3"/>
  <c r="E43" i="3"/>
  <c r="E44" i="3"/>
  <c r="G20" i="3"/>
  <c r="U21" i="3"/>
  <c r="Z21" i="3"/>
  <c r="AD21" i="2"/>
  <c r="AD23" i="2" s="1"/>
  <c r="AE23" i="2"/>
  <c r="B183" i="2"/>
  <c r="G34" i="3"/>
  <c r="G37" i="3" s="1"/>
  <c r="E34" i="3"/>
  <c r="G35" i="3"/>
  <c r="E35" i="3"/>
  <c r="G36" i="3"/>
  <c r="E36" i="3"/>
  <c r="E37" i="3"/>
  <c r="F34" i="3"/>
  <c r="F35" i="3"/>
  <c r="F36" i="3"/>
  <c r="W19" i="3"/>
  <c r="W20" i="3"/>
  <c r="X21" i="3"/>
  <c r="Y21" i="3"/>
  <c r="W18" i="3"/>
  <c r="AE22" i="2"/>
  <c r="G48" i="3"/>
  <c r="G49" i="3"/>
  <c r="G50" i="3"/>
  <c r="F20" i="3"/>
  <c r="D18" i="3"/>
  <c r="D19" i="3"/>
  <c r="D20" i="3"/>
  <c r="D21" i="3"/>
  <c r="F48" i="3"/>
  <c r="F49" i="3"/>
  <c r="F50" i="3"/>
  <c r="F41" i="3"/>
  <c r="F42" i="3"/>
  <c r="F43" i="3"/>
  <c r="AD17" i="2"/>
  <c r="D173" i="2" l="1"/>
  <c r="Q19" i="2"/>
  <c r="X19" i="2"/>
  <c r="P19" i="2"/>
  <c r="AD22" i="2"/>
  <c r="N20" i="3"/>
  <c r="K41" i="3"/>
  <c r="P18" i="3" s="1"/>
  <c r="L18" i="3"/>
  <c r="K50" i="3"/>
  <c r="O20" i="3" s="1"/>
  <c r="K48" i="3"/>
  <c r="O18" i="3" s="1"/>
  <c r="W21" i="3"/>
  <c r="F37" i="3"/>
  <c r="K37" i="3"/>
  <c r="Q21" i="3" s="1"/>
  <c r="K36" i="3"/>
  <c r="Q20" i="3" s="1"/>
  <c r="K35" i="3"/>
  <c r="Q19" i="3" s="1"/>
  <c r="K34" i="3"/>
  <c r="Q18" i="3" s="1"/>
  <c r="K43" i="3"/>
  <c r="P20" i="3" s="1"/>
  <c r="K42" i="3"/>
  <c r="P19" i="3" s="1"/>
  <c r="G44" i="3"/>
  <c r="D22" i="3"/>
  <c r="K44" i="3"/>
  <c r="P21" i="3" s="1"/>
  <c r="F51" i="3"/>
  <c r="G51" i="3"/>
  <c r="K51" i="3" s="1"/>
  <c r="O21" i="3" s="1"/>
  <c r="M19" i="3"/>
  <c r="F21" i="3"/>
  <c r="L19" i="3"/>
  <c r="M18" i="3"/>
  <c r="F44" i="3"/>
  <c r="K49" i="3"/>
  <c r="O19" i="3" s="1"/>
  <c r="N18" i="3"/>
  <c r="G21" i="3"/>
  <c r="L20" i="3"/>
  <c r="D104" i="2"/>
  <c r="N19" i="3"/>
  <c r="M20" i="3"/>
  <c r="Y19" i="2"/>
  <c r="X20" i="2"/>
  <c r="H21" i="3" l="1"/>
  <c r="E21" i="3" s="1"/>
  <c r="D107" i="2" l="1"/>
  <c r="L21" i="3"/>
  <c r="M21" i="3"/>
  <c r="N21" i="3"/>
  <c r="D53" i="2" l="1"/>
  <c r="R13" i="2" l="1"/>
  <c r="G13" i="2"/>
  <c r="G17" i="2" s="1"/>
  <c r="N13" i="2"/>
  <c r="F13" i="2"/>
  <c r="H13" i="2"/>
  <c r="M13" i="2"/>
  <c r="M17" i="2" s="1"/>
  <c r="E13" i="2"/>
  <c r="K13" i="2"/>
  <c r="K17" i="2" s="1"/>
  <c r="U13" i="2"/>
  <c r="U17" i="2" s="1"/>
  <c r="U16" i="2" s="1"/>
  <c r="AA13" i="2"/>
  <c r="L13" i="2"/>
  <c r="C13" i="2"/>
  <c r="C17" i="2" s="1"/>
  <c r="Z13" i="2"/>
  <c r="D13" i="2"/>
  <c r="I13" i="2"/>
  <c r="W13" i="2"/>
  <c r="W21" i="2" s="1"/>
  <c r="W22" i="2" s="1"/>
  <c r="J13" i="2"/>
  <c r="T13" i="2"/>
  <c r="AB13" i="2"/>
  <c r="S13" i="2"/>
  <c r="V13" i="2"/>
  <c r="W17" i="2" l="1"/>
  <c r="V21" i="2"/>
  <c r="V22" i="2" s="1"/>
  <c r="V17" i="2"/>
  <c r="S21" i="2"/>
  <c r="S17" i="2"/>
  <c r="F17" i="2"/>
  <c r="N17" i="2"/>
  <c r="N16" i="2" s="1"/>
  <c r="L17" i="2"/>
  <c r="J17" i="2"/>
  <c r="J16" i="2" s="1"/>
  <c r="X17" i="2"/>
  <c r="X16" i="2" s="1"/>
  <c r="D17" i="2"/>
  <c r="O17" i="2"/>
  <c r="T17" i="2"/>
  <c r="T16" i="2" s="1"/>
  <c r="T21" i="2"/>
  <c r="U21" i="2"/>
  <c r="R17" i="2"/>
  <c r="R16" i="2" s="1"/>
  <c r="E17" i="2"/>
  <c r="H17" i="2"/>
  <c r="H16" i="2" s="1"/>
  <c r="I17" i="2"/>
  <c r="I16" i="2" s="1"/>
  <c r="S22" i="2" l="1"/>
  <c r="S23" i="2"/>
  <c r="U23" i="2"/>
  <c r="U25" i="2" s="1"/>
  <c r="U22" i="2"/>
  <c r="T23" i="2"/>
  <c r="T25" i="2" s="1"/>
  <c r="T22" i="2"/>
  <c r="A7" i="1"/>
  <c r="H6" i="3"/>
  <c r="O7" i="3"/>
  <c r="I6" i="3"/>
  <c r="O6" i="3"/>
  <c r="O8" i="3"/>
  <c r="G6" i="3"/>
  <c r="O9" i="3"/>
  <c r="Q22" i="3"/>
  <c r="G22" i="3"/>
  <c r="R22" i="3"/>
  <c r="W22" i="3"/>
  <c r="T22" i="3"/>
  <c r="O22" i="3"/>
  <c r="U22" i="3"/>
  <c r="H22" i="3"/>
  <c r="Z22" i="3"/>
  <c r="E22" i="3"/>
  <c r="S22" i="3"/>
  <c r="M22" i="3"/>
  <c r="V22" i="3"/>
  <c r="F22" i="3"/>
  <c r="Y22" i="3"/>
  <c r="Q10" i="3"/>
  <c r="L22" i="3"/>
  <c r="X22" i="3"/>
  <c r="P7" i="3"/>
  <c r="I7" i="3"/>
  <c r="P9" i="3"/>
  <c r="P6" i="3"/>
  <c r="P8" i="3"/>
  <c r="D111" i="2"/>
  <c r="E19" i="2"/>
  <c r="D109" i="2"/>
  <c r="I21" i="2"/>
  <c r="I22" i="2"/>
  <c r="K25" i="2"/>
  <c r="AL19" i="2"/>
  <c r="D129" i="2"/>
  <c r="AJ17" i="2"/>
  <c r="Z17" i="2"/>
  <c r="D117" i="2"/>
  <c r="AF17" i="2"/>
  <c r="H25" i="2"/>
  <c r="M19" i="2"/>
  <c r="M16" i="2"/>
  <c r="AJ21" i="2"/>
  <c r="AJ22" i="2"/>
  <c r="N25" i="2"/>
  <c r="AB25" i="2"/>
  <c r="I25" i="2"/>
  <c r="AA17" i="2"/>
  <c r="D120" i="2"/>
  <c r="AF23" i="2"/>
  <c r="S8" i="3"/>
  <c r="Q8" i="3"/>
  <c r="J25" i="2"/>
  <c r="M25" i="2"/>
  <c r="L19" i="2"/>
  <c r="L16" i="2"/>
  <c r="G9" i="3"/>
  <c r="C182" i="2"/>
  <c r="AF21" i="2"/>
  <c r="AF22" i="2"/>
  <c r="C184" i="2"/>
  <c r="AH19" i="2"/>
  <c r="W19" i="2"/>
  <c r="W16" i="2"/>
  <c r="G21" i="2"/>
  <c r="G22" i="2"/>
  <c r="AG19" i="2"/>
  <c r="C180" i="2"/>
  <c r="AF20" i="2"/>
  <c r="E25" i="2"/>
  <c r="Z20" i="2"/>
  <c r="Z23" i="2"/>
  <c r="X23" i="2"/>
  <c r="X21" i="2"/>
  <c r="X22" i="2"/>
  <c r="E16" i="2"/>
  <c r="E20" i="2"/>
  <c r="E23" i="2"/>
  <c r="C183" i="2"/>
  <c r="AF19" i="2"/>
  <c r="AF16" i="2"/>
  <c r="D114" i="2"/>
  <c r="W25" i="2"/>
  <c r="L21" i="2"/>
  <c r="L22" i="2"/>
  <c r="F25" i="2"/>
  <c r="D123" i="2"/>
  <c r="AC19" i="2"/>
  <c r="AB24" i="2"/>
  <c r="F21" i="2"/>
  <c r="F22" i="2"/>
  <c r="AJ20" i="2"/>
  <c r="AJ23" i="2"/>
  <c r="H4" i="3"/>
  <c r="H9" i="3"/>
  <c r="C189" i="2"/>
  <c r="R8" i="3"/>
  <c r="K19" i="2"/>
  <c r="K16" i="2"/>
  <c r="W20" i="2"/>
  <c r="W23" i="2"/>
  <c r="G20" i="2"/>
  <c r="G23" i="2"/>
  <c r="G25" i="2"/>
  <c r="R21" i="2"/>
  <c r="R22" i="2"/>
  <c r="O19" i="2"/>
  <c r="O16" i="2"/>
  <c r="C19" i="2"/>
  <c r="C16" i="2"/>
  <c r="C186" i="2"/>
  <c r="AN19" i="2"/>
  <c r="H20" i="2"/>
  <c r="H23" i="2"/>
  <c r="S9" i="3"/>
  <c r="N9" i="3"/>
  <c r="R9" i="3"/>
  <c r="Q9" i="3"/>
  <c r="L20" i="2"/>
  <c r="L23" i="2"/>
  <c r="L25" i="2"/>
  <c r="C25" i="2"/>
  <c r="AI19" i="2"/>
  <c r="D126" i="2"/>
  <c r="S7" i="3"/>
  <c r="N7" i="3"/>
  <c r="R7" i="3"/>
  <c r="Q7" i="3"/>
  <c r="N22" i="3"/>
  <c r="X24" i="2"/>
  <c r="X25" i="2"/>
  <c r="G19" i="2"/>
  <c r="G16" i="2"/>
  <c r="C181" i="2"/>
  <c r="AF24" i="2"/>
  <c r="AF25" i="2"/>
  <c r="C21" i="2"/>
  <c r="C22" i="2"/>
  <c r="M20" i="2"/>
  <c r="M23" i="2"/>
  <c r="I4" i="3"/>
  <c r="I9" i="3"/>
  <c r="AA20" i="2"/>
  <c r="AA23" i="2"/>
  <c r="AA19" i="2"/>
  <c r="AA16" i="2"/>
  <c r="K21" i="2"/>
  <c r="K22" i="2"/>
  <c r="F19" i="2"/>
  <c r="F16" i="2"/>
  <c r="J20" i="2"/>
  <c r="J23" i="2"/>
  <c r="R10" i="3"/>
  <c r="C188" i="2"/>
  <c r="AJ19" i="2"/>
  <c r="AJ16" i="2"/>
  <c r="C177" i="2"/>
  <c r="AB20" i="2"/>
  <c r="AB23" i="2"/>
  <c r="Z19" i="2"/>
  <c r="Z16" i="2"/>
  <c r="H21" i="2"/>
  <c r="H22" i="2"/>
  <c r="AB17" i="2"/>
  <c r="C175" i="2"/>
  <c r="AA24" i="2"/>
  <c r="AA25" i="2"/>
  <c r="AA21" i="2"/>
  <c r="AA22" i="2"/>
  <c r="V20" i="2"/>
  <c r="V23" i="2"/>
  <c r="D19" i="2"/>
  <c r="D16" i="2"/>
  <c r="K20" i="2"/>
  <c r="K23" i="2"/>
  <c r="N21" i="2"/>
  <c r="N22" i="2"/>
  <c r="C187" i="2"/>
  <c r="AJ24" i="2"/>
  <c r="AJ25" i="2"/>
  <c r="R20" i="2"/>
  <c r="R23" i="2"/>
  <c r="R25" i="2"/>
  <c r="S6" i="3"/>
  <c r="S10" i="3"/>
  <c r="C20" i="2"/>
  <c r="C23" i="2"/>
  <c r="O21" i="2"/>
  <c r="O22" i="2"/>
  <c r="C22" i="3"/>
  <c r="O20" i="2"/>
  <c r="O23" i="2"/>
  <c r="O25" i="2"/>
  <c r="C173" i="2"/>
  <c r="Z24" i="2"/>
  <c r="Z25" i="2"/>
  <c r="N20" i="2"/>
  <c r="N23" i="2"/>
  <c r="J21" i="2"/>
  <c r="J22" i="2"/>
  <c r="P22" i="3"/>
  <c r="C178" i="2"/>
  <c r="AB19" i="2"/>
  <c r="AB16" i="2"/>
  <c r="G7" i="3"/>
  <c r="H7" i="3"/>
  <c r="M21" i="2"/>
  <c r="M22" i="2"/>
  <c r="E21" i="2"/>
  <c r="E22" i="2"/>
  <c r="D20" i="2"/>
  <c r="D23" i="2"/>
  <c r="D25" i="2"/>
  <c r="Z21" i="2"/>
  <c r="Z22" i="2"/>
  <c r="I20" i="2"/>
  <c r="I23" i="2"/>
  <c r="D21" i="2"/>
  <c r="D22" i="2"/>
  <c r="F20" i="2"/>
  <c r="F23" i="2"/>
  <c r="G4" i="3"/>
  <c r="N8" i="3"/>
  <c r="N6" i="3"/>
  <c r="R6" i="3"/>
  <c r="Q6" i="3"/>
  <c r="K22" i="3"/>
  <c r="AB21" i="2"/>
  <c r="AC22" i="2"/>
</calcChain>
</file>

<file path=xl/comments1.xml><?xml version="1.0" encoding="utf-8"?>
<comments xmlns="http://schemas.openxmlformats.org/spreadsheetml/2006/main">
  <authors>
    <author>Auteur</author>
  </authors>
  <commentList>
    <comment ref="B94" authorId="0" shapeId="0">
      <text>
        <r>
          <rPr>
            <b/>
            <sz val="9"/>
            <color indexed="81"/>
            <rFont val="Tahoma"/>
            <charset val="1"/>
          </rPr>
          <t>Auteur:</t>
        </r>
        <r>
          <rPr>
            <sz val="9"/>
            <color indexed="81"/>
            <rFont val="Tahoma"/>
            <charset val="1"/>
          </rPr>
          <t xml:space="preserve">
Bron: 
PRAKTIJKONDERZOEK BIORAFFINAGE; prijs €500.000 voor 4.000 ton/j</t>
        </r>
      </text>
    </comment>
  </commentList>
</comments>
</file>

<file path=xl/sharedStrings.xml><?xml version="1.0" encoding="utf-8"?>
<sst xmlns="http://schemas.openxmlformats.org/spreadsheetml/2006/main" count="1583" uniqueCount="485">
  <si>
    <t>Bioraffinage</t>
  </si>
  <si>
    <t>Vergisting</t>
  </si>
  <si>
    <t>Teelt</t>
  </si>
  <si>
    <t>Verbranden</t>
  </si>
  <si>
    <t>Vergassen</t>
  </si>
  <si>
    <t>Pyrolyse</t>
  </si>
  <si>
    <t>Composteren</t>
  </si>
  <si>
    <t>Papier</t>
  </si>
  <si>
    <t>Bioplastic</t>
  </si>
  <si>
    <t>Bouwmateriaal</t>
  </si>
  <si>
    <t>Inzetbaarheid maaisel</t>
  </si>
  <si>
    <t>Logistiek</t>
  </si>
  <si>
    <t>Maatschappelijke meerwaarde</t>
  </si>
  <si>
    <t>Bermgras</t>
  </si>
  <si>
    <t>Riet</t>
  </si>
  <si>
    <t>Watervegetatie</t>
  </si>
  <si>
    <t>✔</t>
  </si>
  <si>
    <t>✘</t>
  </si>
  <si>
    <t>Technology Readiness Level (TRL)</t>
  </si>
  <si>
    <t>Rijkswaterstaat</t>
  </si>
  <si>
    <t>Waterschappen</t>
  </si>
  <si>
    <t>Veevoer</t>
  </si>
  <si>
    <t>Eigen beheer</t>
  </si>
  <si>
    <t>Waterstaatkundig beheer</t>
  </si>
  <si>
    <t>Staatbosbeheer</t>
  </si>
  <si>
    <t>Riet/ruigte</t>
  </si>
  <si>
    <t>Veevoer/bodemverbeteraar</t>
  </si>
  <si>
    <t>Innovatieve ontwikkelingen</t>
  </si>
  <si>
    <t>TOTAAL</t>
  </si>
  <si>
    <t>Bio-olie</t>
  </si>
  <si>
    <t>Biogas</t>
  </si>
  <si>
    <t>Syngas</t>
  </si>
  <si>
    <t>Digestaat</t>
  </si>
  <si>
    <t>Fermentatie</t>
  </si>
  <si>
    <t>Bio-ethanol</t>
  </si>
  <si>
    <t>Newfoss</t>
  </si>
  <si>
    <t>Compost</t>
  </si>
  <si>
    <t>Zetmeel-extractie</t>
  </si>
  <si>
    <t>Techniek</t>
  </si>
  <si>
    <t>Product</t>
  </si>
  <si>
    <t>Producent</t>
  </si>
  <si>
    <t>Grassa!</t>
  </si>
  <si>
    <t>Indugras</t>
  </si>
  <si>
    <t>Eiwit-extractie</t>
  </si>
  <si>
    <t>Vezel-extractie</t>
  </si>
  <si>
    <t>Millvision</t>
  </si>
  <si>
    <t>NPSP</t>
  </si>
  <si>
    <t>Producten, composieten</t>
  </si>
  <si>
    <t>Bambooder</t>
  </si>
  <si>
    <t>Netics</t>
  </si>
  <si>
    <r>
      <t xml:space="preserve">✔
</t>
    </r>
    <r>
      <rPr>
        <sz val="8"/>
        <rFont val="Calibri"/>
        <family val="2"/>
        <scheme val="minor"/>
      </rPr>
      <t>(baggerspeci)</t>
    </r>
  </si>
  <si>
    <t>https://newfoss.com</t>
  </si>
  <si>
    <t xml:space="preserve">http://www.netics.nl/producten/bouwen-met-baggerspecie/ </t>
  </si>
  <si>
    <t>http://www.npsp.nl/page.asp?ID=14</t>
  </si>
  <si>
    <t>7/8</t>
  </si>
  <si>
    <t>diversen</t>
  </si>
  <si>
    <t>Warmte</t>
  </si>
  <si>
    <t>Bindmiddel</t>
  </si>
  <si>
    <t>…</t>
  </si>
  <si>
    <r>
      <t xml:space="preserve">✔
</t>
    </r>
    <r>
      <rPr>
        <sz val="8"/>
        <rFont val="Calibri"/>
        <family val="2"/>
        <scheme val="minor"/>
      </rPr>
      <t>(Bamboevezels)</t>
    </r>
  </si>
  <si>
    <t>4</t>
  </si>
  <si>
    <t>8</t>
  </si>
  <si>
    <t>9</t>
  </si>
  <si>
    <t>?</t>
  </si>
  <si>
    <t>8/9</t>
  </si>
  <si>
    <t>http://www.indugras.nl/het-proces/</t>
  </si>
  <si>
    <t>https://grassa.nl/</t>
  </si>
  <si>
    <t xml:space="preserve"> </t>
  </si>
  <si>
    <t>http://www.bambooder.nl/</t>
  </si>
  <si>
    <t>BTG-BTL</t>
  </si>
  <si>
    <t>Ander biomassa</t>
  </si>
  <si>
    <t>http://www.hollandbioplastics.nl/wat-zijn-bioplastics/productenverwerkers/</t>
  </si>
  <si>
    <t>Diversen</t>
  </si>
  <si>
    <t>o.b.v.</t>
  </si>
  <si>
    <t>d.s.</t>
  </si>
  <si>
    <t>a.r.</t>
  </si>
  <si>
    <t>3/4</t>
  </si>
  <si>
    <t>Verbruggen Paddestoelen</t>
  </si>
  <si>
    <t>Substraat</t>
  </si>
  <si>
    <t>Website</t>
  </si>
  <si>
    <t>http://verbruggen-paddestoelen.nl/innovatie/</t>
  </si>
  <si>
    <t>Biochar</t>
  </si>
  <si>
    <t>Torrefactie</t>
  </si>
  <si>
    <t>https://www.millvision.eu/</t>
  </si>
  <si>
    <t>http://www.biotortech.com/</t>
  </si>
  <si>
    <t>BioTorTech</t>
  </si>
  <si>
    <t>4/5</t>
  </si>
  <si>
    <t>TorrCoal</t>
  </si>
  <si>
    <t>http://www.torrcoal.com/</t>
  </si>
  <si>
    <r>
      <rPr>
        <b/>
        <sz val="11"/>
        <color rgb="FF00B050"/>
        <rFont val="Calibri"/>
        <family val="2"/>
        <scheme val="minor"/>
      </rPr>
      <t>✔</t>
    </r>
    <r>
      <rPr>
        <sz val="8"/>
        <rFont val="Calibri"/>
        <family val="2"/>
        <scheme val="minor"/>
      </rPr>
      <t xml:space="preserve">
(Wood (residues),
SRF, Agro residues)</t>
    </r>
  </si>
  <si>
    <r>
      <rPr>
        <b/>
        <sz val="11"/>
        <color rgb="FF00B050"/>
        <rFont val="Calibri"/>
        <family val="2"/>
        <scheme val="minor"/>
      </rPr>
      <t>✔</t>
    </r>
    <r>
      <rPr>
        <sz val="8"/>
        <rFont val="Calibri"/>
        <family val="2"/>
        <scheme val="minor"/>
      </rPr>
      <t xml:space="preserve">
(Biomassa met suiker/ zetmeel of veel cellulose)</t>
    </r>
  </si>
  <si>
    <r>
      <t xml:space="preserve">✘
</t>
    </r>
    <r>
      <rPr>
        <sz val="8"/>
        <rFont val="Calibri"/>
        <family val="2"/>
        <scheme val="minor"/>
      </rPr>
      <t>(voorbehandeling nodig)</t>
    </r>
  </si>
  <si>
    <t>Meubels</t>
  </si>
  <si>
    <t>Vepa</t>
  </si>
  <si>
    <t>1/2</t>
  </si>
  <si>
    <t>https://vepa.nl/duurzaam/recyclen-van-pet-flessen/</t>
  </si>
  <si>
    <t>Lignine olie</t>
  </si>
  <si>
    <t>Vertoro</t>
  </si>
  <si>
    <t>https://www.vertoro.nl/</t>
  </si>
  <si>
    <t>….</t>
  </si>
  <si>
    <t>3</t>
  </si>
  <si>
    <r>
      <rPr>
        <b/>
        <sz val="11"/>
        <color rgb="FF00B050"/>
        <rFont val="Calibri"/>
        <family val="2"/>
        <scheme val="minor"/>
      </rPr>
      <t>✔</t>
    </r>
    <r>
      <rPr>
        <sz val="8"/>
        <rFont val="Calibri"/>
        <family val="2"/>
        <scheme val="minor"/>
      </rPr>
      <t xml:space="preserve">
(lignine uit bio-thanolproductie)</t>
    </r>
  </si>
  <si>
    <t>Verwaardingstechnieken maaisel</t>
  </si>
  <si>
    <r>
      <rPr>
        <b/>
        <sz val="11"/>
        <color rgb="FF00B050"/>
        <rFont val="Calibri"/>
        <family val="2"/>
        <scheme val="minor"/>
      </rPr>
      <t>✔</t>
    </r>
    <r>
      <rPr>
        <sz val="8"/>
        <rFont val="Calibri"/>
        <family val="2"/>
        <scheme val="minor"/>
      </rPr>
      <t xml:space="preserve">
(Mest)</t>
    </r>
  </si>
  <si>
    <t>Sap-extractie</t>
  </si>
  <si>
    <t>'Strooizout'</t>
  </si>
  <si>
    <t>https://www.grass2grit.nl/</t>
  </si>
  <si>
    <t>Grass2grit</t>
  </si>
  <si>
    <t>5/6</t>
  </si>
  <si>
    <t>Aquafarm</t>
  </si>
  <si>
    <t>Zuiveren water</t>
  </si>
  <si>
    <r>
      <t xml:space="preserve">✔
</t>
    </r>
    <r>
      <rPr>
        <sz val="8"/>
        <rFont val="Calibri"/>
        <family val="2"/>
        <scheme val="minor"/>
      </rPr>
      <t>(Waterplanten met zuiverend effect, o.a. zegge en kroosvaren)</t>
    </r>
  </si>
  <si>
    <t>https://www.aquafarm.nl/</t>
  </si>
  <si>
    <t>ECN, Indugras</t>
  </si>
  <si>
    <t>CO2-eq emissions</t>
  </si>
  <si>
    <t>Unit</t>
  </si>
  <si>
    <t>Factor</t>
  </si>
  <si>
    <t>litre/km</t>
  </si>
  <si>
    <t>Emissie (kg CO2-eq)</t>
  </si>
  <si>
    <t>Transportkosten</t>
  </si>
  <si>
    <t>Afzet compost</t>
  </si>
  <si>
    <t>Energieverbruik</t>
  </si>
  <si>
    <t>Elektriciteit</t>
  </si>
  <si>
    <t>Thermo-chemische omzetting</t>
  </si>
  <si>
    <t>Natural gas</t>
  </si>
  <si>
    <t>MJ/m3</t>
  </si>
  <si>
    <t xml:space="preserve">https://www.ecn.nl/publications/PdfFetch.aspx?nr=ECN-L--13-038
http://ecp-biomass.eu/node/144 </t>
  </si>
  <si>
    <t>Kosten</t>
  </si>
  <si>
    <t>ECN</t>
  </si>
  <si>
    <t>http://edepot.wur.nl/329929</t>
  </si>
  <si>
    <t>Opwerken</t>
  </si>
  <si>
    <t>Opslag</t>
  </si>
  <si>
    <t>Duurzaamheid</t>
  </si>
  <si>
    <t>++</t>
  </si>
  <si>
    <t>+++</t>
  </si>
  <si>
    <t>+</t>
  </si>
  <si>
    <r>
      <t xml:space="preserve">Toegevoerde waarde
</t>
    </r>
    <r>
      <rPr>
        <sz val="10"/>
        <color theme="1"/>
        <rFont val="Calibri"/>
        <family val="2"/>
        <scheme val="minor"/>
      </rPr>
      <t>(Waarde pyramide)</t>
    </r>
  </si>
  <si>
    <t>Biobound</t>
  </si>
  <si>
    <t>Tegels en paden</t>
  </si>
  <si>
    <t>http://biobound.nl/producten/circulaire-biobased-betontegels/</t>
  </si>
  <si>
    <t>NTP-groep</t>
  </si>
  <si>
    <r>
      <t xml:space="preserve">✔
</t>
    </r>
    <r>
      <rPr>
        <sz val="8"/>
        <rFont val="Calibri"/>
        <family val="2"/>
        <scheme val="minor"/>
      </rPr>
      <t>(Olifantengras)</t>
    </r>
  </si>
  <si>
    <r>
      <t xml:space="preserve">lignocellulose-extractie
</t>
    </r>
    <r>
      <rPr>
        <sz val="9"/>
        <color theme="1"/>
        <rFont val="Calibri"/>
        <family val="2"/>
        <scheme val="minor"/>
      </rPr>
      <t>Hydrothermal liquefaction</t>
    </r>
  </si>
  <si>
    <r>
      <t xml:space="preserve">✘
</t>
    </r>
    <r>
      <rPr>
        <sz val="8"/>
        <rFont val="Calibri"/>
        <family val="2"/>
        <scheme val="minor"/>
      </rPr>
      <t>(Wassen/drogen)</t>
    </r>
  </si>
  <si>
    <t>file:///C:/Users/dennis/Downloads/Dennis%20Froeling%20HVC%20Presentatie%20bermgrasverwerking%20Stadswerk%20170202.pdf</t>
  </si>
  <si>
    <t>Water / bodemverbeteraar</t>
  </si>
  <si>
    <r>
      <t xml:space="preserve">✔
</t>
    </r>
    <r>
      <rPr>
        <sz val="8"/>
        <rFont val="Calibri"/>
        <family val="2"/>
        <scheme val="minor"/>
      </rPr>
      <t>(Ontwateren)</t>
    </r>
  </si>
  <si>
    <r>
      <t xml:space="preserve">✔
</t>
    </r>
    <r>
      <rPr>
        <sz val="8"/>
        <rFont val="Calibri"/>
        <family val="2"/>
        <scheme val="minor"/>
      </rPr>
      <t>(drogen, verkleinen/ontsluiten)</t>
    </r>
  </si>
  <si>
    <t>kg CO2 eq/kWh</t>
  </si>
  <si>
    <t>LHV</t>
  </si>
  <si>
    <t>Bermgras (ar)</t>
  </si>
  <si>
    <t>Bermgras (dry)</t>
  </si>
  <si>
    <t>MJ/kg</t>
  </si>
  <si>
    <t>https://www.ecn.nl/phyllis2/Browse/Standard/ECN-Phyllis#verge%20grass</t>
  </si>
  <si>
    <t>5</t>
  </si>
  <si>
    <t xml:space="preserve"> https://www.ntpgroep.nl/nieuws/circulariteit-realiseer-je-samen/</t>
  </si>
  <si>
    <t>bermgras</t>
  </si>
  <si>
    <t>riet</t>
  </si>
  <si>
    <t>watervegetatie</t>
  </si>
  <si>
    <t>overig</t>
  </si>
  <si>
    <t>Rijkswatersaat</t>
  </si>
  <si>
    <t>Staatsbosbeheer</t>
  </si>
  <si>
    <t>Vezels</t>
  </si>
  <si>
    <t>Eiwitten</t>
  </si>
  <si>
    <t>Stookwaarde</t>
  </si>
  <si>
    <t>Droge stof</t>
  </si>
  <si>
    <t>Water gehalte</t>
  </si>
  <si>
    <t>Sap</t>
  </si>
  <si>
    <t>Lignocellulose</t>
  </si>
  <si>
    <t>Cellulose</t>
  </si>
  <si>
    <t>Hemicellulose</t>
  </si>
  <si>
    <t>Lignine</t>
  </si>
  <si>
    <t>Organische stof (excl. As)</t>
  </si>
  <si>
    <t>Vuil 
(% van tot. massa)</t>
  </si>
  <si>
    <t>As 
(excl. Los zand/klei)</t>
  </si>
  <si>
    <t>Schaalgrootte (ton/installatie)</t>
  </si>
  <si>
    <t>Direct gebruik</t>
  </si>
  <si>
    <t>Data</t>
  </si>
  <si>
    <t>Oppervlakte Nederland</t>
  </si>
  <si>
    <t xml:space="preserve">km2 </t>
  </si>
  <si>
    <t>ton/jaar (a.r.)</t>
  </si>
  <si>
    <t>Beschikbaar maaisel</t>
  </si>
  <si>
    <t>ton/km2 (a.r.)</t>
  </si>
  <si>
    <t>Gerichter maaien</t>
  </si>
  <si>
    <t>Verkleinen</t>
  </si>
  <si>
    <t>Wassen</t>
  </si>
  <si>
    <t>Inkuilen</t>
  </si>
  <si>
    <t>Extractie vezel</t>
  </si>
  <si>
    <t>Stookwaarde 
50% d.s.</t>
  </si>
  <si>
    <t>Water vegetatie</t>
  </si>
  <si>
    <t>Overig</t>
  </si>
  <si>
    <t>http://www.innovatieagroennatuur.nl/sitemanager/downloadattachment.php?id=1lOMbyQa2hHMJu4FQYSurK</t>
  </si>
  <si>
    <t>Vuil</t>
  </si>
  <si>
    <t>(% van tot. massa)</t>
  </si>
  <si>
    <t>Afvoeren afval/vuil</t>
  </si>
  <si>
    <t>https://mineralvalley.nl/wp-content/uploads/sites/3/2018/07/Draft-rapport-bermmaaisel.pdf</t>
  </si>
  <si>
    <t xml:space="preserve">Opwerken	</t>
  </si>
  <si>
    <t>Transport</t>
  </si>
  <si>
    <t xml:space="preserve">Ontsluiting </t>
  </si>
  <si>
    <t>Extractie sap/eiwit/fosfaat</t>
  </si>
  <si>
    <t>Compostering</t>
  </si>
  <si>
    <t>Isolatiemateriaal</t>
  </si>
  <si>
    <t>Ontsluiting</t>
  </si>
  <si>
    <t>Resterend na vuilverwijdering</t>
  </si>
  <si>
    <t>Resterend bij 50% d.s. 
(incl. vuilvrwd.)</t>
  </si>
  <si>
    <t>Gemiddeld</t>
  </si>
  <si>
    <t>Stookwaarde
a.r.</t>
  </si>
  <si>
    <t>Kosten (€/jaar)</t>
  </si>
  <si>
    <t>Baten (€/ton input)</t>
  </si>
  <si>
    <t>Kosten (€/ton input)</t>
  </si>
  <si>
    <t>Persen naar ca. 50% d.s.</t>
  </si>
  <si>
    <t>Baten</t>
  </si>
  <si>
    <t>Sappen</t>
  </si>
  <si>
    <t>Bron: Waarde groenresten, STOWA (2017)</t>
  </si>
  <si>
    <t>Totaal</t>
  </si>
  <si>
    <t>ton/jaar d.s.</t>
  </si>
  <si>
    <t>ton/jaar a.r.</t>
  </si>
  <si>
    <t>Mineralen</t>
  </si>
  <si>
    <t>Opbrengst per ton maaisel</t>
  </si>
  <si>
    <t>Bron: http://edepot.wur.nl/383545</t>
  </si>
  <si>
    <r>
      <t xml:space="preserve">Suikerpolymeren </t>
    </r>
    <r>
      <rPr>
        <sz val="8"/>
        <color theme="1"/>
        <rFont val="Calibri"/>
        <family val="2"/>
        <scheme val="minor"/>
      </rPr>
      <t>(lignine, cellulose, hemicellulose)</t>
    </r>
  </si>
  <si>
    <t>Suikerpolymeer</t>
  </si>
  <si>
    <r>
      <t xml:space="preserve">Mineralen </t>
    </r>
    <r>
      <rPr>
        <sz val="8"/>
        <color theme="1"/>
        <rFont val="Calibri"/>
        <family val="2"/>
        <scheme val="minor"/>
      </rPr>
      <t>(bodemverbeteraar)</t>
    </r>
  </si>
  <si>
    <t>Stookwaarde 
100% d.s.</t>
  </si>
  <si>
    <t>Drogen naar ca. 90% d.s.</t>
  </si>
  <si>
    <t>Laagwaardig</t>
  </si>
  <si>
    <t>Brandstoffen</t>
  </si>
  <si>
    <t>Bron: http://www.sernoordnederland.nl/uploads/bestanden/aab24b3b-d2fa-4651-b6e2-7e871c3c6ae1</t>
  </si>
  <si>
    <t>Stookwaarde 
90% d.s.</t>
  </si>
  <si>
    <t>Resterend bij 90% d.s. 
(incl. vuilvrwd.)</t>
  </si>
  <si>
    <t>Verbranden (800°C)</t>
  </si>
  <si>
    <t>Vergassen (800°C)</t>
  </si>
  <si>
    <t>Pyrolyse (500°C)</t>
  </si>
  <si>
    <t>Torrefactie (300°C)</t>
  </si>
  <si>
    <t>HTL (300°C)</t>
  </si>
  <si>
    <t>Fermentatie (70°C)</t>
  </si>
  <si>
    <t>Pyrolyseolie</t>
  </si>
  <si>
    <t>Char</t>
  </si>
  <si>
    <t>Gas (warmte)</t>
  </si>
  <si>
    <t>Gas (elek.)</t>
  </si>
  <si>
    <t>Vergisting (50°C)</t>
  </si>
  <si>
    <t>Bron:</t>
  </si>
  <si>
    <t>Investeringskosten</t>
  </si>
  <si>
    <t>Vaste O&amp;M kosten</t>
  </si>
  <si>
    <t>Extractie sap / eiwit / mineralen / zout</t>
  </si>
  <si>
    <t>Zout</t>
  </si>
  <si>
    <t>kg</t>
  </si>
  <si>
    <t>Vezel</t>
  </si>
  <si>
    <t>Eiwit H</t>
  </si>
  <si>
    <t>Sap : Eiwit L</t>
  </si>
  <si>
    <t>€ / ton bermgras d.s.</t>
  </si>
  <si>
    <t>€ / ton product d.s.</t>
  </si>
  <si>
    <t>ton vezel d.s.</t>
  </si>
  <si>
    <t>ton eiwit d.s.</t>
  </si>
  <si>
    <t>warmte</t>
  </si>
  <si>
    <t>Rendement   elek.</t>
  </si>
  <si>
    <t>Opbrengst</t>
  </si>
  <si>
    <t>s1</t>
  </si>
  <si>
    <t>s4</t>
  </si>
  <si>
    <t>7</t>
  </si>
  <si>
    <t>Tegels en wegen</t>
  </si>
  <si>
    <t>Wabico</t>
  </si>
  <si>
    <t>https://www.rvo.nl/sites/default/files/2014/04/Definitief_Een%20studie%20naar%20kansen%20voor%20grasvergisting.pdf
https://groengas.nl/project/biogasinstallatie-wabico/</t>
  </si>
  <si>
    <t>BioTorTech, ECN</t>
  </si>
  <si>
    <t>Alles</t>
  </si>
  <si>
    <t>Meer dan 1 type</t>
  </si>
  <si>
    <t>Uitsluitend 1 type</t>
  </si>
  <si>
    <t>50.000 - 200.000</t>
  </si>
  <si>
    <t>100 - 5.000</t>
  </si>
  <si>
    <t>Andere kruidachtige vegetatie</t>
  </si>
  <si>
    <t>http://www.harvestagg.nl/green-goods-concept1.html</t>
  </si>
  <si>
    <t>Harvestagg</t>
  </si>
  <si>
    <t>http://edepot.wur.nl/453178</t>
  </si>
  <si>
    <t>Thermische verwerking</t>
  </si>
  <si>
    <t>Eiwit/sap/zout-extractie</t>
  </si>
  <si>
    <t>Verbruik (kWh/ton nat)</t>
  </si>
  <si>
    <t>Opbrengst (GJ/ton nat)</t>
  </si>
  <si>
    <t>Elektriciteit (grijs)</t>
  </si>
  <si>
    <t>Energie productie</t>
  </si>
  <si>
    <t>Elektriciteit (biomasa)</t>
  </si>
  <si>
    <t>Warmte (biomassa)</t>
  </si>
  <si>
    <t>kg CO2eq/kWh</t>
  </si>
  <si>
    <t>kg CO2 eq/ GJ</t>
  </si>
  <si>
    <t>Bio-ehtanol</t>
  </si>
  <si>
    <t>Eigen verbruik</t>
  </si>
  <si>
    <t>Diesel</t>
  </si>
  <si>
    <t>consump. truck (loaded)</t>
  </si>
  <si>
    <t>Gewicht lading</t>
  </si>
  <si>
    <t>ton</t>
  </si>
  <si>
    <t xml:space="preserve">http://edepot.wur.nl/148665 </t>
  </si>
  <si>
    <t>(compost)</t>
  </si>
  <si>
    <t>kg CO2 eq/ton maaisel</t>
  </si>
  <si>
    <t>kg CO2 eq/GJ</t>
  </si>
  <si>
    <t>kg CO2 eq/litre</t>
  </si>
  <si>
    <t>CH4 en N2O</t>
  </si>
  <si>
    <t>SDE+</t>
  </si>
  <si>
    <t>EBITDA (€/ton input)</t>
  </si>
  <si>
    <t>Eenvoudige terugverdientijd</t>
  </si>
  <si>
    <t>Alternatieve route</t>
  </si>
  <si>
    <t>Soja</t>
  </si>
  <si>
    <t>Steenkool</t>
  </si>
  <si>
    <t>Bitumen (aardolie)</t>
  </si>
  <si>
    <t>Benzine</t>
  </si>
  <si>
    <t>Investeringskosten (€/ton input)</t>
  </si>
  <si>
    <t>Vergassing</t>
  </si>
  <si>
    <t>(Alles)vergisting</t>
  </si>
  <si>
    <t>Torrefactie/pyrolyse/fermentatie</t>
  </si>
  <si>
    <t>Vermeden emissies</t>
  </si>
  <si>
    <t>Elek. (grijs)</t>
  </si>
  <si>
    <t>Warmte (STEG)</t>
  </si>
  <si>
    <t>Warmte (STEG-centrale)</t>
  </si>
  <si>
    <t>kg CO2 eq/kg</t>
  </si>
  <si>
    <t xml:space="preserve"> Steenkool 	</t>
  </si>
  <si>
    <t>Stookolie</t>
  </si>
  <si>
    <t>MJ/L</t>
  </si>
  <si>
    <t>Bio-ehtanol/pyrolyseolie</t>
  </si>
  <si>
    <t>http://ecp-biomass.eu/node/83</t>
  </si>
  <si>
    <t>kg CO2 eq/ton</t>
  </si>
  <si>
    <t>Papiervezels</t>
  </si>
  <si>
    <t>Glasvezel</t>
  </si>
  <si>
    <t>Bitumen</t>
  </si>
  <si>
    <t>Stalen wapening</t>
  </si>
  <si>
    <t>Strooi zout</t>
  </si>
  <si>
    <t>Beton</t>
  </si>
  <si>
    <t>RWZI</t>
  </si>
  <si>
    <t>Staal</t>
  </si>
  <si>
    <t>https://nmi-agro.nl/images/Rapport_1379-Samenvatting-en-conclusies.pdf</t>
  </si>
  <si>
    <t>(kunstmest)</t>
  </si>
  <si>
    <t>Kunstmest</t>
  </si>
  <si>
    <t>kg CO2 eq/ton mineraal</t>
  </si>
  <si>
    <t>Glasvezel composiet</t>
  </si>
  <si>
    <t>kg CO2 eq/ton glasvezel</t>
  </si>
  <si>
    <t>kg CO2 eq/ton beton</t>
  </si>
  <si>
    <t>kg CO2 eq/ton staal</t>
  </si>
  <si>
    <t>kg CO2 eq/ton bitumen</t>
  </si>
  <si>
    <t>(glasvezel)</t>
  </si>
  <si>
    <t>http://www.escher.nl/getmedia/69a20031-3b01-48cc-bb1a-adcc1bfb2e98/20141205-Ketenanalyse-bruggen-versie-1-2-definitief.pdf.aspx</t>
  </si>
  <si>
    <t>(Soja)</t>
  </si>
  <si>
    <t>http://edepot.wur.nl/121095</t>
  </si>
  <si>
    <t>kg CO2 eq/ton soja</t>
  </si>
  <si>
    <t>Soja (50% eiwit)</t>
  </si>
  <si>
    <t>(char)</t>
  </si>
  <si>
    <t>http://www4.ncsu.edu/~richardv/documents/ACSSERMACSpresent102911presented.pdf</t>
  </si>
  <si>
    <t>Gemiddelde NL</t>
  </si>
  <si>
    <t xml:space="preserve">s2 </t>
  </si>
  <si>
    <t xml:space="preserve">s3 </t>
  </si>
  <si>
    <t>Eiwit</t>
  </si>
  <si>
    <t>ton d.s.</t>
  </si>
  <si>
    <t>Kosten en opbrengsten kwaliteiten vezel en eiwit</t>
  </si>
  <si>
    <t>http://edepot.wur.nl/383545</t>
  </si>
  <si>
    <t>http://edepot.wur.nl/425160</t>
  </si>
  <si>
    <t>Opbrengsten componenten</t>
  </si>
  <si>
    <t>bron:</t>
  </si>
  <si>
    <t>https://www.indexmundi.com</t>
  </si>
  <si>
    <t>Referentieproduct</t>
  </si>
  <si>
    <t xml:space="preserve">Phosphate rock </t>
  </si>
  <si>
    <t>Component</t>
  </si>
  <si>
    <t>Mineralen(fosfaat)</t>
  </si>
  <si>
    <t>Aandeel component</t>
  </si>
  <si>
    <t>Sojabeans</t>
  </si>
  <si>
    <t>Mineralen (fosfaat)</t>
  </si>
  <si>
    <t>Suikerpolymeer (lignin)</t>
  </si>
  <si>
    <t>Prijs/ton</t>
  </si>
  <si>
    <t>Prijs/ton component</t>
  </si>
  <si>
    <t>Wood pulp</t>
  </si>
  <si>
    <t>Opbrengst per ton component</t>
  </si>
  <si>
    <t>0-3</t>
  </si>
  <si>
    <t>4-5</t>
  </si>
  <si>
    <t>6-7</t>
  </si>
  <si>
    <t>8-9</t>
  </si>
  <si>
    <t>Energie</t>
  </si>
  <si>
    <t>chemie &amp; materialen</t>
  </si>
  <si>
    <t>Food &amp; Feed</t>
  </si>
  <si>
    <t>Fossiel</t>
  </si>
  <si>
    <t>5.000 - 20.000</t>
  </si>
  <si>
    <t>20.000 - 50.000</t>
  </si>
  <si>
    <t>Landbouwareaal</t>
  </si>
  <si>
    <t>Bosareaal</t>
  </si>
  <si>
    <t>0-50</t>
  </si>
  <si>
    <t>&lt; 0</t>
  </si>
  <si>
    <t>50-100</t>
  </si>
  <si>
    <t>&gt;100</t>
  </si>
  <si>
    <t>Potentieel</t>
  </si>
  <si>
    <t>Beschikbaar</t>
  </si>
  <si>
    <t>Maaisel per type</t>
  </si>
  <si>
    <t>Beheerder</t>
  </si>
  <si>
    <t>Nederland</t>
  </si>
  <si>
    <t>Jaar</t>
  </si>
  <si>
    <t>Totale oppervlakte grasland</t>
  </si>
  <si>
    <t>Totale gemaaide oppervlakte grasland</t>
  </si>
  <si>
    <t>gemiddeld oppervlakte</t>
  </si>
  <si>
    <t>gemiddelde opbrengst</t>
  </si>
  <si>
    <t>gemiddeld droge stofgehalte vers gras</t>
  </si>
  <si>
    <t>vers gras</t>
  </si>
  <si>
    <t>aantal maaigangen per jaar</t>
  </si>
  <si>
    <t>uiterwaarden</t>
  </si>
  <si>
    <t>eigen beheer (wegen, kanalen)</t>
  </si>
  <si>
    <t>totaal</t>
  </si>
  <si>
    <t>bos</t>
  </si>
  <si>
    <t>totaal beheer</t>
  </si>
  <si>
    <t>kuilgras</t>
  </si>
  <si>
    <t>gemiddeld droge stofgehate kuilgras</t>
  </si>
  <si>
    <t>totaal beheer (excl. bos)</t>
  </si>
  <si>
    <t>kg CO2 eq/ton zout</t>
  </si>
  <si>
    <t>energie voor drogen bermgras van 40% naar 90% ds</t>
  </si>
  <si>
    <t>Bokashi</t>
  </si>
  <si>
    <t>Bodemverbeteraar</t>
  </si>
  <si>
    <t>125€/ ton aanschaf</t>
  </si>
  <si>
    <t>66€/ton verwerkingskosten geen investering</t>
  </si>
  <si>
    <t>125€/ ton investering</t>
  </si>
  <si>
    <t>Pharma &amp; 
fine chemicals</t>
  </si>
  <si>
    <t>Subtotaal (incl. filters)</t>
  </si>
  <si>
    <t>Totaal (excl. filters)</t>
  </si>
  <si>
    <t>waarde gras (composteren)</t>
  </si>
  <si>
    <t>schaalgrootte</t>
  </si>
  <si>
    <t>inkomsten</t>
  </si>
  <si>
    <t>opbrengst (per ton natte input)</t>
  </si>
  <si>
    <t>eiwit</t>
  </si>
  <si>
    <t>vezel</t>
  </si>
  <si>
    <t>sap voor vergisting</t>
  </si>
  <si>
    <t>afvalwater</t>
  </si>
  <si>
    <t>waterdamp</t>
  </si>
  <si>
    <t>toegevoegde waarde</t>
  </si>
  <si>
    <t>Bio char</t>
  </si>
  <si>
    <t>afvalwater (vergisting)</t>
  </si>
  <si>
    <t>Bio -oil</t>
  </si>
  <si>
    <t>Bio plastic</t>
  </si>
  <si>
    <t>Tegels</t>
  </si>
  <si>
    <t>Afvalwater</t>
  </si>
  <si>
    <t>BioBound</t>
  </si>
  <si>
    <t>NewFoss</t>
  </si>
  <si>
    <t>isolatie materiaal</t>
  </si>
  <si>
    <t>New Foss</t>
  </si>
  <si>
    <t>Vezel voor papier</t>
  </si>
  <si>
    <t>mineralenconcentraat</t>
  </si>
  <si>
    <t>Vezel voor composiet</t>
  </si>
  <si>
    <t>calcium fosfaat</t>
  </si>
  <si>
    <t>Biocomposiet</t>
  </si>
  <si>
    <t>Bio composiet</t>
  </si>
  <si>
    <t>VEPA</t>
  </si>
  <si>
    <t>Groengas</t>
  </si>
  <si>
    <t>Grassap voor veevoer</t>
  </si>
  <si>
    <t>compost</t>
  </si>
  <si>
    <t>Grass2gritt</t>
  </si>
  <si>
    <t>sapconcentraat tbv strooizout</t>
  </si>
  <si>
    <t>Water voor vergisting</t>
  </si>
  <si>
    <t xml:space="preserve">Compost </t>
  </si>
  <si>
    <t xml:space="preserve">Digestaat </t>
  </si>
  <si>
    <t>veevoer</t>
  </si>
  <si>
    <t>as</t>
  </si>
  <si>
    <t>Bio-oil</t>
  </si>
  <si>
    <t>Bruto toegevoegde waard [€/jaar]</t>
  </si>
  <si>
    <t>Schaalgrootte</t>
  </si>
  <si>
    <t>Bruto toegevoegde waard [€/ton/jaar</t>
  </si>
  <si>
    <t>Biocol</t>
  </si>
  <si>
    <t>Toelichting criteria en waarderingsfactoren</t>
  </si>
  <si>
    <t>Op welk niveau in de waarde piramide bevindt zich dit product of de technologie?</t>
  </si>
  <si>
    <t>Is de technologie flexibel of modulair uit te rollen?</t>
  </si>
  <si>
    <t>Wat is de minimale verwachte schaalgrootte in ton nat per jaar om de technologie economisch exploitabel te maken?</t>
  </si>
  <si>
    <t>Draagt een project met deze technologie bij aan het thema "Samenwerken in directe regio"?</t>
  </si>
  <si>
    <t>Wat is het Technology Readiness Level (TRL) volgens de EU criteria?</t>
  </si>
  <si>
    <t>Weegfactor</t>
  </si>
  <si>
    <t>Wat is de inzetbaarheid van deze technologie qua diversiteit aan soorten maaisel (bijv. gras, riet, waterplanten, …)?</t>
  </si>
  <si>
    <t>Was is de verwachte verdringing van broeikasgassen in kg CO2 equivalenten per ton nat (incl. energieverbruik)</t>
  </si>
  <si>
    <t>geen</t>
  </si>
  <si>
    <t>Welke (natuurlijke) bronnen vervangt of spaart dit product of deze technologie?</t>
  </si>
  <si>
    <t>Zijn er voor dit product wettelijke of regelgevende beperkingen te verwachten? Bijvoorbeeld voedselveiligheid, bouwbesluit, GMP+, …</t>
  </si>
  <si>
    <t>Ja</t>
  </si>
  <si>
    <t>Nee</t>
  </si>
  <si>
    <t>Met enige randvoorwaarden</t>
  </si>
  <si>
    <t>Met aanzienlijke randvoorwaarden</t>
  </si>
  <si>
    <t>Is er op dit moment of korte termijn concrete vraag uit de markt voor dit product?</t>
  </si>
  <si>
    <t>Ja, met enige randvoorwaarden</t>
  </si>
  <si>
    <t>Nee, wellicht op langere termijn</t>
  </si>
  <si>
    <t>Mogelijk op middellange termijn</t>
  </si>
  <si>
    <t>Ja, direct</t>
  </si>
  <si>
    <t>Aanzienlijk, maar overkomelijk</t>
  </si>
  <si>
    <t>Aanzienlijk of groot aantal beperkingen</t>
  </si>
  <si>
    <t>Geen tot nihil</t>
  </si>
  <si>
    <t>Enigszins, maar overkomelijl</t>
  </si>
  <si>
    <t>Kunnen Overheden een rol nemen als Launching Customer om marktintroductie te versnellen?</t>
  </si>
  <si>
    <t>In veld "A5 Producent" kan gefilterd worden op de mee te wegen criteria</t>
  </si>
  <si>
    <t xml:space="preserve">In Rij 5 kan per verwaardingsroute kan gefilterd worden op mee te wegen waardering </t>
  </si>
  <si>
    <t>Hier (in de velden B32 C32 D32 E32) kunnen de weegfactoren in waarde worden aangepast.</t>
  </si>
  <si>
    <t>Instructie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</si>
</sst>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2]\ * #,##0.00_ ;_ [$€-2]\ * \-#,##0.00_ ;_ [$€-2]\ * &quot;-&quot;??_ ;_ @_ "/>
    <numFmt numFmtId="165" formatCode="#,##0\ [$ton/jaar]"/>
    <numFmt numFmtId="166" formatCode="#,##0\ [$km]"/>
    <numFmt numFmtId="167" formatCode="#,##0\ [$°C]"/>
    <numFmt numFmtId="168" formatCode="_ * #,##0_ ;_ * \-#,##0_ ;_ * &quot;-&quot;??_ ;_ @_ "/>
    <numFmt numFmtId="169" formatCode="#,##0.\-\ \ [$€/ton]"/>
    <numFmt numFmtId="170" formatCode="&quot;€&quot;\ * #,##0.00\ [$per ton a.r.]\ "/>
    <numFmt numFmtId="171" formatCode="&quot;€&quot;\ * #,##0.00\ [$per ton a.r. per km]\ "/>
    <numFmt numFmtId="172" formatCode="0%\ [$d.s.]"/>
    <numFmt numFmtId="173" formatCode="#,##0\ [$ton d.s./jaar]"/>
    <numFmt numFmtId="174" formatCode="#,##0.0\ [$MJ/kg a.r.]"/>
    <numFmt numFmtId="175" formatCode="0.0%\ [$d.s.]"/>
    <numFmt numFmtId="176" formatCode="#,##0\ [$€/ton (a.r.)]"/>
    <numFmt numFmtId="177" formatCode="#,##0\ [$€/ton (a.r.) incl. vuil]"/>
    <numFmt numFmtId="178" formatCode="#,##0.0\ [$MJ/kg]"/>
    <numFmt numFmtId="179" formatCode="#,##0\ [$€/ton (50% d.s.)]"/>
    <numFmt numFmtId="180" formatCode="#,##0\ [$kg/ton]"/>
    <numFmt numFmtId="181" formatCode="\+\ 0%"/>
    <numFmt numFmtId="182" formatCode="#,##0.0\ [$€/ton vuil]"/>
    <numFmt numFmtId="183" formatCode="_ [$€-2]\ * #,##0_ ;_ [$€-2]\ * \-#,##0_ ;_ [$€-2]\ * &quot;-&quot;??_ ;_ @_ "/>
    <numFmt numFmtId="184" formatCode="#,##0\ [$€/ton]"/>
    <numFmt numFmtId="185" formatCode="_ &quot;€&quot;\ * #,##0_ ;_ &quot;€&quot;\ * \-#,##0_ ;_ &quot;€&quot;\ * &quot;-&quot;??_ ;_ @_ "/>
    <numFmt numFmtId="186" formatCode="#,##0\ [$€/ton (90% d.s.)]"/>
    <numFmt numFmtId="187" formatCode="#,##0\ [$€/GJ]"/>
    <numFmt numFmtId="188" formatCode="0%\ \t\h"/>
    <numFmt numFmtId="189" formatCode="#,##0\ [$GJ/ton]"/>
    <numFmt numFmtId="190" formatCode="0%\ [$e]"/>
    <numFmt numFmtId="191" formatCode="0%\ [$w/w]"/>
    <numFmt numFmtId="192" formatCode="#,##0.0\ [$ton/ton input]"/>
    <numFmt numFmtId="193" formatCode="#,##0\ [$m3/ton]"/>
    <numFmt numFmtId="194" formatCode="#,##0\ [$MJ/m3]"/>
    <numFmt numFmtId="195" formatCode="#,##0.0\ [$GJ/ton]"/>
    <numFmt numFmtId="196" formatCode="#,##0.0000\ [$€/ton (90% d.s.)]"/>
    <numFmt numFmtId="197" formatCode="_ * #,##0.00000_ ;_ * \-#,##0.00000_ ;_ * &quot;-&quot;??_ ;_ @_ "/>
    <numFmt numFmtId="198" formatCode="#,##0\ [$€/kW output]"/>
    <numFmt numFmtId="199" formatCode="_ * #,##0.00000_ ;_ * \-#,##0.00000_ ;_ * &quot;-&quot;?????_ ;_ @_ "/>
    <numFmt numFmtId="200" formatCode="0.0"/>
    <numFmt numFmtId="201" formatCode="#,##0.00\ [$€/m3]"/>
    <numFmt numFmtId="202" formatCode="#,##0.00\ [$€/kWh]"/>
    <numFmt numFmtId="203" formatCode="#,##0.00\ [$€/ton/km]"/>
    <numFmt numFmtId="204" formatCode="#,##0\ [$kWh/ton]"/>
    <numFmt numFmtId="205" formatCode="#,##0.000\ [$€/kWh]"/>
    <numFmt numFmtId="206" formatCode="\(#,##0\)\ [$ton/jaar]"/>
    <numFmt numFmtId="207" formatCode="#,##0.0\ [$ton ds/ha]"/>
    <numFmt numFmtId="208" formatCode="\(#,##0\)\ [$ton ds/jaar]"/>
    <numFmt numFmtId="209" formatCode="&quot;€&quot;\ #,##0.0"/>
    <numFmt numFmtId="210" formatCode="\(#,##0\)\ [$ton nat/jaar]"/>
    <numFmt numFmtId="211" formatCode="#,##0[$.000 ha]"/>
    <numFmt numFmtId="212" formatCode="0.0000000"/>
    <numFmt numFmtId="213" formatCode="&quot;€&quot;\ #,##0\ [$/ton (nat)]"/>
    <numFmt numFmtId="214" formatCode="#,##0\ [$ton (nat)/jaar]"/>
    <numFmt numFmtId="215" formatCode="&quot;€&quot;\ #,##0\ [$/jaar]"/>
    <numFmt numFmtId="216" formatCode="&quot;€&quot;\ #,##0\ [$/ton]"/>
    <numFmt numFmtId="217" formatCode="#,##0\ [$ha]"/>
  </numFmts>
  <fonts count="3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7" tint="0.3999755851924192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722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left" vertical="center"/>
    </xf>
    <xf numFmtId="0" fontId="9" fillId="2" borderId="21" xfId="1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9" fillId="2" borderId="20" xfId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/>
    <xf numFmtId="0" fontId="0" fillId="4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/>
    </xf>
    <xf numFmtId="0" fontId="0" fillId="4" borderId="2" xfId="0" quotePrefix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9" fillId="2" borderId="16" xfId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6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2" borderId="20" xfId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9" fontId="0" fillId="0" borderId="0" xfId="3" applyNumberFormat="1" applyFont="1"/>
    <xf numFmtId="3" fontId="16" fillId="0" borderId="0" xfId="0" applyNumberFormat="1" applyFont="1" applyAlignment="1">
      <alignment horizontal="left" indent="1"/>
    </xf>
    <xf numFmtId="0" fontId="0" fillId="2" borderId="4" xfId="0" applyFill="1" applyBorder="1" applyAlignment="1">
      <alignment horizontal="center" vertical="center"/>
    </xf>
    <xf numFmtId="0" fontId="8" fillId="0" borderId="0" xfId="1"/>
    <xf numFmtId="10" fontId="0" fillId="0" borderId="0" xfId="0" applyNumberFormat="1"/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0" fontId="0" fillId="0" borderId="0" xfId="0" applyNumberFormat="1" applyFill="1"/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3" fontId="17" fillId="0" borderId="0" xfId="0" applyNumberFormat="1" applyFont="1" applyAlignment="1">
      <alignment horizontal="center"/>
    </xf>
    <xf numFmtId="9" fontId="0" fillId="0" borderId="0" xfId="4" applyFont="1" applyAlignment="1">
      <alignment horizontal="center"/>
    </xf>
    <xf numFmtId="176" fontId="0" fillId="0" borderId="0" xfId="0" applyNumberFormat="1" applyAlignment="1">
      <alignment horizontal="left"/>
    </xf>
    <xf numFmtId="177" fontId="0" fillId="0" borderId="0" xfId="0" applyNumberFormat="1" applyAlignment="1">
      <alignment horizontal="left"/>
    </xf>
    <xf numFmtId="9" fontId="0" fillId="0" borderId="0" xfId="4" applyFont="1" applyBorder="1" applyAlignment="1">
      <alignment horizontal="center"/>
    </xf>
    <xf numFmtId="9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180" fontId="0" fillId="0" borderId="0" xfId="0" applyNumberFormat="1" applyAlignment="1">
      <alignment horizontal="left"/>
    </xf>
    <xf numFmtId="179" fontId="16" fillId="0" borderId="0" xfId="0" applyNumberFormat="1" applyFont="1" applyAlignment="1">
      <alignment horizontal="left"/>
    </xf>
    <xf numFmtId="182" fontId="0" fillId="0" borderId="0" xfId="0" applyNumberFormat="1" applyAlignment="1">
      <alignment horizontal="left"/>
    </xf>
    <xf numFmtId="164" fontId="0" fillId="0" borderId="7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43" fontId="15" fillId="0" borderId="31" xfId="2" applyFont="1" applyBorder="1" applyAlignment="1">
      <alignment horizontal="left"/>
    </xf>
    <xf numFmtId="9" fontId="15" fillId="0" borderId="31" xfId="0" applyNumberFormat="1" applyFont="1" applyBorder="1" applyAlignment="1">
      <alignment horizontal="center"/>
    </xf>
    <xf numFmtId="181" fontId="15" fillId="0" borderId="31" xfId="0" applyNumberFormat="1" applyFont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9" fontId="0" fillId="0" borderId="34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34" xfId="0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35" xfId="0" applyNumberForma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178" fontId="0" fillId="0" borderId="35" xfId="0" applyNumberFormat="1" applyFill="1" applyBorder="1" applyAlignment="1">
      <alignment horizontal="center"/>
    </xf>
    <xf numFmtId="178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34" xfId="4" applyNumberFormat="1" applyFont="1" applyFill="1" applyBorder="1" applyAlignment="1">
      <alignment horizontal="center"/>
    </xf>
    <xf numFmtId="172" fontId="0" fillId="0" borderId="0" xfId="4" applyNumberFormat="1" applyFont="1" applyFill="1" applyBorder="1" applyAlignment="1">
      <alignment horizontal="center"/>
    </xf>
    <xf numFmtId="175" fontId="0" fillId="0" borderId="0" xfId="4" applyNumberFormat="1" applyFont="1" applyFill="1" applyBorder="1" applyAlignment="1">
      <alignment horizontal="center"/>
    </xf>
    <xf numFmtId="172" fontId="0" fillId="0" borderId="35" xfId="4" applyNumberFormat="1" applyFont="1" applyFill="1" applyBorder="1" applyAlignment="1">
      <alignment horizontal="center"/>
    </xf>
    <xf numFmtId="172" fontId="16" fillId="0" borderId="0" xfId="4" applyNumberFormat="1" applyFont="1" applyFill="1" applyBorder="1" applyAlignment="1">
      <alignment horizontal="center"/>
    </xf>
    <xf numFmtId="172" fontId="0" fillId="0" borderId="14" xfId="4" applyNumberFormat="1" applyFont="1" applyFill="1" applyBorder="1" applyAlignment="1">
      <alignment horizontal="center"/>
    </xf>
    <xf numFmtId="175" fontId="0" fillId="0" borderId="14" xfId="4" applyNumberFormat="1" applyFont="1" applyFill="1" applyBorder="1" applyAlignment="1">
      <alignment horizontal="center"/>
    </xf>
    <xf numFmtId="172" fontId="0" fillId="0" borderId="11" xfId="4" applyNumberFormat="1" applyFon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78" fontId="0" fillId="0" borderId="14" xfId="0" applyNumberFormat="1" applyFill="1" applyBorder="1" applyAlignment="1">
      <alignment horizontal="center"/>
    </xf>
    <xf numFmtId="178" fontId="0" fillId="0" borderId="34" xfId="0" applyNumberFormat="1" applyFill="1" applyBorder="1" applyAlignment="1">
      <alignment horizontal="center"/>
    </xf>
    <xf numFmtId="178" fontId="0" fillId="0" borderId="31" xfId="0" applyNumberFormat="1" applyFill="1" applyBorder="1" applyAlignment="1">
      <alignment horizontal="center"/>
    </xf>
    <xf numFmtId="172" fontId="0" fillId="0" borderId="31" xfId="4" applyNumberFormat="1" applyFont="1" applyFill="1" applyBorder="1" applyAlignment="1">
      <alignment horizontal="center"/>
    </xf>
    <xf numFmtId="0" fontId="0" fillId="0" borderId="35" xfId="0" applyBorder="1"/>
    <xf numFmtId="0" fontId="0" fillId="0" borderId="11" xfId="0" applyBorder="1"/>
    <xf numFmtId="176" fontId="0" fillId="0" borderId="0" xfId="0" applyNumberFormat="1"/>
    <xf numFmtId="179" fontId="0" fillId="0" borderId="0" xfId="0" applyNumberFormat="1" applyAlignment="1">
      <alignment horizontal="left"/>
    </xf>
    <xf numFmtId="183" fontId="0" fillId="0" borderId="10" xfId="0" applyNumberFormat="1" applyBorder="1" applyAlignment="1">
      <alignment horizontal="center" vertical="center"/>
    </xf>
    <xf numFmtId="183" fontId="0" fillId="0" borderId="3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8" xfId="0" applyFill="1" applyBorder="1" applyAlignment="1">
      <alignment horizontal="left" indent="2"/>
    </xf>
    <xf numFmtId="0" fontId="0" fillId="2" borderId="28" xfId="0" applyFill="1" applyBorder="1" applyAlignment="1">
      <alignment horizontal="left" wrapText="1" indent="2"/>
    </xf>
    <xf numFmtId="0" fontId="0" fillId="2" borderId="38" xfId="0" applyFill="1" applyBorder="1" applyAlignment="1">
      <alignment horizontal="left" indent="2"/>
    </xf>
    <xf numFmtId="0" fontId="3" fillId="0" borderId="6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0" fillId="2" borderId="28" xfId="0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left" vertical="center"/>
    </xf>
    <xf numFmtId="0" fontId="9" fillId="2" borderId="17" xfId="1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2" borderId="40" xfId="0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49" fontId="0" fillId="2" borderId="28" xfId="0" applyNumberFormat="1" applyFill="1" applyBorder="1" applyAlignment="1">
      <alignment horizontal="left"/>
    </xf>
    <xf numFmtId="49" fontId="0" fillId="0" borderId="17" xfId="0" applyNumberFormat="1" applyBorder="1" applyAlignment="1">
      <alignment horizontal="center" vertical="center"/>
    </xf>
    <xf numFmtId="0" fontId="0" fillId="2" borderId="28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11" fillId="0" borderId="0" xfId="0" applyFont="1"/>
    <xf numFmtId="0" fontId="0" fillId="0" borderId="1" xfId="0" applyBorder="1" applyAlignment="1">
      <alignment horizontal="center"/>
    </xf>
    <xf numFmtId="9" fontId="0" fillId="0" borderId="1" xfId="4" applyFont="1" applyBorder="1" applyAlignment="1">
      <alignment horizontal="center"/>
    </xf>
    <xf numFmtId="9" fontId="0" fillId="0" borderId="1" xfId="4" applyFont="1" applyBorder="1"/>
    <xf numFmtId="168" fontId="0" fillId="0" borderId="1" xfId="2" applyNumberFormat="1" applyFont="1" applyBorder="1"/>
    <xf numFmtId="0" fontId="10" fillId="0" borderId="1" xfId="0" applyFont="1" applyFill="1" applyBorder="1" applyAlignment="1">
      <alignment horizontal="center" vertical="center"/>
    </xf>
    <xf numFmtId="165" fontId="19" fillId="0" borderId="1" xfId="0" applyNumberFormat="1" applyFont="1" applyBorder="1"/>
    <xf numFmtId="185" fontId="0" fillId="0" borderId="0" xfId="3" applyNumberFormat="1" applyFont="1"/>
    <xf numFmtId="0" fontId="0" fillId="0" borderId="0" xfId="0" applyAlignment="1">
      <alignment horizontal="left" vertical="top" wrapText="1"/>
    </xf>
    <xf numFmtId="184" fontId="0" fillId="0" borderId="0" xfId="0" applyNumberFormat="1" applyAlignment="1">
      <alignment horizontal="right" vertical="top"/>
    </xf>
    <xf numFmtId="175" fontId="0" fillId="0" borderId="31" xfId="4" applyNumberFormat="1" applyFont="1" applyFill="1" applyBorder="1" applyAlignment="1">
      <alignment horizontal="center"/>
    </xf>
    <xf numFmtId="186" fontId="16" fillId="0" borderId="0" xfId="0" applyNumberFormat="1" applyFont="1" applyAlignment="1">
      <alignment horizontal="left"/>
    </xf>
    <xf numFmtId="0" fontId="20" fillId="0" borderId="0" xfId="0" applyFont="1"/>
    <xf numFmtId="0" fontId="0" fillId="4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 horizontal="left" vertical="top"/>
    </xf>
    <xf numFmtId="0" fontId="6" fillId="0" borderId="0" xfId="0" applyFont="1"/>
    <xf numFmtId="187" fontId="0" fillId="0" borderId="0" xfId="0" applyNumberFormat="1" applyAlignment="1">
      <alignment horizontal="left" vertical="top"/>
    </xf>
    <xf numFmtId="168" fontId="0" fillId="0" borderId="0" xfId="2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88" fontId="0" fillId="0" borderId="0" xfId="4" applyNumberFormat="1" applyFont="1" applyAlignment="1">
      <alignment horizontal="center"/>
    </xf>
    <xf numFmtId="0" fontId="0" fillId="0" borderId="0" xfId="0" applyAlignment="1">
      <alignment horizontal="left" indent="4"/>
    </xf>
    <xf numFmtId="190" fontId="0" fillId="0" borderId="0" xfId="4" applyNumberFormat="1" applyFont="1" applyAlignment="1">
      <alignment horizontal="center"/>
    </xf>
    <xf numFmtId="188" fontId="0" fillId="0" borderId="0" xfId="4" applyNumberFormat="1" applyFont="1" applyAlignment="1">
      <alignment horizontal="left"/>
    </xf>
    <xf numFmtId="191" fontId="0" fillId="0" borderId="0" xfId="0" applyNumberFormat="1" applyAlignment="1">
      <alignment horizontal="center"/>
    </xf>
    <xf numFmtId="189" fontId="0" fillId="0" borderId="0" xfId="0" applyNumberFormat="1" applyAlignment="1">
      <alignment horizontal="left"/>
    </xf>
    <xf numFmtId="192" fontId="0" fillId="0" borderId="0" xfId="0" applyNumberFormat="1" applyAlignment="1">
      <alignment horizontal="left"/>
    </xf>
    <xf numFmtId="193" fontId="0" fillId="0" borderId="0" xfId="0" applyNumberFormat="1" applyAlignment="1">
      <alignment horizontal="center"/>
    </xf>
    <xf numFmtId="194" fontId="0" fillId="0" borderId="0" xfId="0" applyNumberFormat="1" applyAlignment="1">
      <alignment horizontal="center"/>
    </xf>
    <xf numFmtId="195" fontId="0" fillId="0" borderId="0" xfId="0" applyNumberFormat="1" applyAlignment="1">
      <alignment horizontal="left"/>
    </xf>
    <xf numFmtId="0" fontId="9" fillId="0" borderId="0" xfId="1" applyFont="1"/>
    <xf numFmtId="0" fontId="11" fillId="0" borderId="0" xfId="0" applyFont="1" applyAlignment="1">
      <alignment horizontal="right"/>
    </xf>
    <xf numFmtId="43" fontId="0" fillId="0" borderId="0" xfId="2" applyFont="1" applyBorder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196" fontId="16" fillId="0" borderId="0" xfId="0" applyNumberFormat="1" applyFont="1" applyAlignment="1">
      <alignment horizontal="left"/>
    </xf>
    <xf numFmtId="0" fontId="11" fillId="0" borderId="0" xfId="0" applyFont="1" applyAlignment="1">
      <alignment horizontal="right" indent="1"/>
    </xf>
    <xf numFmtId="198" fontId="11" fillId="0" borderId="0" xfId="0" applyNumberFormat="1" applyFont="1" applyAlignment="1">
      <alignment horizontal="left"/>
    </xf>
    <xf numFmtId="176" fontId="16" fillId="0" borderId="0" xfId="0" applyNumberFormat="1" applyFont="1" applyAlignment="1">
      <alignment horizontal="left"/>
    </xf>
    <xf numFmtId="178" fontId="0" fillId="0" borderId="0" xfId="0" applyNumberFormat="1"/>
    <xf numFmtId="197" fontId="0" fillId="0" borderId="0" xfId="2" applyNumberFormat="1" applyFont="1" applyBorder="1" applyAlignment="1">
      <alignment horizontal="center"/>
    </xf>
    <xf numFmtId="199" fontId="0" fillId="0" borderId="0" xfId="0" applyNumberFormat="1"/>
    <xf numFmtId="0" fontId="20" fillId="0" borderId="0" xfId="0" applyFont="1" applyAlignment="1">
      <alignment horizontal="right" indent="1"/>
    </xf>
    <xf numFmtId="198" fontId="20" fillId="0" borderId="0" xfId="0" applyNumberFormat="1" applyFont="1" applyAlignment="1">
      <alignment horizontal="left"/>
    </xf>
    <xf numFmtId="186" fontId="1" fillId="0" borderId="0" xfId="0" applyNumberFormat="1" applyFont="1" applyAlignment="1">
      <alignment horizontal="left"/>
    </xf>
    <xf numFmtId="164" fontId="0" fillId="0" borderId="5" xfId="0" applyNumberFormat="1" applyBorder="1" applyAlignment="1">
      <alignment horizontal="center" vertical="center"/>
    </xf>
    <xf numFmtId="175" fontId="16" fillId="0" borderId="0" xfId="4" applyNumberFormat="1" applyFont="1" applyFill="1" applyBorder="1" applyAlignment="1">
      <alignment horizontal="center"/>
    </xf>
    <xf numFmtId="175" fontId="16" fillId="0" borderId="14" xfId="4" applyNumberFormat="1" applyFont="1" applyFill="1" applyBorder="1" applyAlignment="1">
      <alignment horizontal="center"/>
    </xf>
    <xf numFmtId="0" fontId="15" fillId="0" borderId="0" xfId="0" applyFont="1"/>
    <xf numFmtId="185" fontId="0" fillId="0" borderId="0" xfId="0" applyNumberFormat="1"/>
    <xf numFmtId="185" fontId="6" fillId="0" borderId="0" xfId="3" applyNumberFormat="1" applyFont="1" applyAlignment="1">
      <alignment horizontal="left" indent="15"/>
    </xf>
    <xf numFmtId="0" fontId="6" fillId="0" borderId="0" xfId="0" applyFont="1" applyAlignment="1"/>
    <xf numFmtId="0" fontId="0" fillId="2" borderId="1" xfId="0" applyFill="1" applyBorder="1" applyAlignment="1">
      <alignment horizontal="center" vertical="center" wrapText="1"/>
    </xf>
    <xf numFmtId="179" fontId="1" fillId="0" borderId="0" xfId="0" applyNumberFormat="1" applyFont="1" applyAlignment="1">
      <alignment horizontal="left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/>
    <xf numFmtId="20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5" fillId="2" borderId="14" xfId="0" applyFont="1" applyFill="1" applyBorder="1"/>
    <xf numFmtId="0" fontId="15" fillId="2" borderId="14" xfId="0" applyFont="1" applyFill="1" applyBorder="1" applyAlignment="1">
      <alignment horizontal="left"/>
    </xf>
    <xf numFmtId="0" fontId="15" fillId="2" borderId="14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201" fontId="0" fillId="0" borderId="0" xfId="0" applyNumberFormat="1" applyAlignment="1">
      <alignment horizontal="left"/>
    </xf>
    <xf numFmtId="202" fontId="0" fillId="0" borderId="0" xfId="0" applyNumberFormat="1" applyAlignment="1">
      <alignment horizontal="left"/>
    </xf>
    <xf numFmtId="203" fontId="0" fillId="0" borderId="0" xfId="0" applyNumberFormat="1" applyAlignment="1">
      <alignment horizontal="left"/>
    </xf>
    <xf numFmtId="204" fontId="16" fillId="0" borderId="0" xfId="0" applyNumberFormat="1" applyFont="1" applyAlignment="1">
      <alignment horizontal="left" indent="1"/>
    </xf>
    <xf numFmtId="184" fontId="1" fillId="0" borderId="0" xfId="0" applyNumberFormat="1" applyFont="1" applyAlignment="1">
      <alignment horizontal="left" vertical="top"/>
    </xf>
    <xf numFmtId="183" fontId="0" fillId="0" borderId="7" xfId="0" applyNumberForma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9" fontId="0" fillId="6" borderId="0" xfId="0" applyNumberFormat="1" applyFill="1" applyBorder="1" applyAlignment="1">
      <alignment horizontal="right" vertical="center"/>
    </xf>
    <xf numFmtId="181" fontId="0" fillId="6" borderId="34" xfId="0" applyNumberFormat="1" applyFill="1" applyBorder="1" applyAlignment="1">
      <alignment horizontal="center"/>
    </xf>
    <xf numFmtId="181" fontId="0" fillId="6" borderId="13" xfId="0" applyNumberFormat="1" applyFill="1" applyBorder="1" applyAlignment="1">
      <alignment horizontal="center"/>
    </xf>
    <xf numFmtId="205" fontId="0" fillId="0" borderId="0" xfId="0" applyNumberFormat="1" applyAlignment="1">
      <alignment horizontal="left" vertical="top"/>
    </xf>
    <xf numFmtId="0" fontId="0" fillId="2" borderId="14" xfId="0" applyFill="1" applyBorder="1" applyAlignment="1">
      <alignment horizontal="left"/>
    </xf>
    <xf numFmtId="168" fontId="0" fillId="0" borderId="31" xfId="2" applyNumberFormat="1" applyFont="1" applyBorder="1" applyAlignment="1">
      <alignment horizontal="center" vertical="center"/>
    </xf>
    <xf numFmtId="168" fontId="0" fillId="0" borderId="12" xfId="2" applyNumberFormat="1" applyFont="1" applyBorder="1" applyAlignment="1">
      <alignment horizontal="center" vertical="center"/>
    </xf>
    <xf numFmtId="198" fontId="0" fillId="0" borderId="0" xfId="0" applyNumberFormat="1"/>
    <xf numFmtId="0" fontId="0" fillId="0" borderId="1" xfId="0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185" fontId="0" fillId="0" borderId="1" xfId="3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 vertical="top" wrapText="1" indent="4"/>
    </xf>
    <xf numFmtId="205" fontId="0" fillId="0" borderId="0" xfId="0" applyNumberFormat="1" applyAlignment="1">
      <alignment horizontal="left"/>
    </xf>
    <xf numFmtId="49" fontId="1" fillId="0" borderId="0" xfId="0" applyNumberFormat="1" applyFont="1"/>
    <xf numFmtId="1" fontId="0" fillId="0" borderId="1" xfId="2" applyNumberFormat="1" applyFont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31" xfId="2" applyNumberFormat="1" applyFont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" fontId="0" fillId="0" borderId="10" xfId="2" applyNumberFormat="1" applyFont="1" applyBorder="1" applyAlignment="1">
      <alignment horizontal="center" vertical="center"/>
    </xf>
    <xf numFmtId="1" fontId="0" fillId="0" borderId="3" xfId="2" applyNumberFormat="1" applyFont="1" applyBorder="1" applyAlignment="1">
      <alignment horizontal="center" vertical="center"/>
    </xf>
    <xf numFmtId="1" fontId="0" fillId="0" borderId="11" xfId="2" applyNumberFormat="1" applyFont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1" xfId="0" applyBorder="1"/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/>
    <xf numFmtId="0" fontId="0" fillId="0" borderId="14" xfId="0" applyBorder="1" applyAlignment="1">
      <alignment horizontal="center"/>
    </xf>
    <xf numFmtId="1" fontId="0" fillId="0" borderId="12" xfId="2" applyNumberFormat="1" applyFont="1" applyBorder="1" applyAlignment="1">
      <alignment horizontal="center" vertical="center"/>
    </xf>
    <xf numFmtId="1" fontId="0" fillId="0" borderId="31" xfId="2" applyNumberFormat="1" applyFont="1" applyBorder="1" applyAlignment="1">
      <alignment horizontal="center" vertical="center"/>
    </xf>
    <xf numFmtId="168" fontId="0" fillId="0" borderId="3" xfId="2" applyNumberFormat="1" applyFont="1" applyBorder="1" applyAlignment="1">
      <alignment horizontal="center" vertical="center"/>
    </xf>
    <xf numFmtId="1" fontId="0" fillId="0" borderId="5" xfId="2" applyNumberFormat="1" applyFont="1" applyBorder="1" applyAlignment="1">
      <alignment horizontal="center" vertical="center"/>
    </xf>
    <xf numFmtId="168" fontId="0" fillId="0" borderId="3" xfId="2" applyNumberFormat="1" applyFont="1" applyBorder="1" applyAlignment="1">
      <alignment vertical="center"/>
    </xf>
    <xf numFmtId="200" fontId="0" fillId="0" borderId="5" xfId="2" applyNumberFormat="1" applyFont="1" applyBorder="1" applyAlignment="1">
      <alignment horizontal="center" vertical="center"/>
    </xf>
    <xf numFmtId="168" fontId="0" fillId="0" borderId="10" xfId="2" applyNumberFormat="1" applyFont="1" applyBorder="1" applyAlignment="1">
      <alignment horizontal="center" vertical="center"/>
    </xf>
    <xf numFmtId="1" fontId="0" fillId="0" borderId="13" xfId="2" applyNumberFormat="1" applyFont="1" applyBorder="1" applyAlignment="1">
      <alignment horizontal="center" vertical="center"/>
    </xf>
    <xf numFmtId="183" fontId="0" fillId="0" borderId="35" xfId="0" applyNumberFormat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0" fillId="0" borderId="35" xfId="0" applyNumberFormat="1" applyFill="1" applyBorder="1" applyAlignment="1">
      <alignment horizontal="center" vertical="center"/>
    </xf>
    <xf numFmtId="183" fontId="0" fillId="0" borderId="4" xfId="0" applyNumberFormat="1" applyBorder="1" applyAlignment="1">
      <alignment horizontal="center" vertical="center"/>
    </xf>
    <xf numFmtId="1" fontId="0" fillId="2" borderId="31" xfId="0" applyNumberFormat="1" applyFill="1" applyBorder="1" applyAlignment="1">
      <alignment horizontal="left" indent="2"/>
    </xf>
    <xf numFmtId="1" fontId="0" fillId="2" borderId="31" xfId="0" applyNumberFormat="1" applyFill="1" applyBorder="1" applyAlignment="1">
      <alignment horizontal="left" indent="4"/>
    </xf>
    <xf numFmtId="0" fontId="1" fillId="0" borderId="0" xfId="0" applyFont="1" applyAlignment="1">
      <alignment horizontal="left" indent="3"/>
    </xf>
    <xf numFmtId="0" fontId="1" fillId="0" borderId="0" xfId="0" applyFont="1"/>
    <xf numFmtId="184" fontId="1" fillId="0" borderId="0" xfId="0" applyNumberFormat="1" applyFont="1" applyAlignment="1">
      <alignment horizontal="left"/>
    </xf>
    <xf numFmtId="195" fontId="0" fillId="0" borderId="0" xfId="0" applyNumberFormat="1" applyFill="1" applyAlignment="1">
      <alignment horizontal="left"/>
    </xf>
    <xf numFmtId="0" fontId="1" fillId="0" borderId="0" xfId="0" applyFont="1" applyBorder="1" applyAlignment="1">
      <alignment horizontal="left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9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9" fontId="1" fillId="0" borderId="14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2" fontId="0" fillId="8" borderId="5" xfId="2" applyNumberFormat="1" applyFont="1" applyFill="1" applyBorder="1" applyAlignment="1">
      <alignment horizontal="center" vertical="center"/>
    </xf>
    <xf numFmtId="183" fontId="0" fillId="8" borderId="35" xfId="0" applyNumberFormat="1" applyFill="1" applyBorder="1" applyAlignment="1">
      <alignment horizontal="center" vertical="center"/>
    </xf>
    <xf numFmtId="1" fontId="0" fillId="8" borderId="5" xfId="2" applyNumberFormat="1" applyFont="1" applyFill="1" applyBorder="1" applyAlignment="1">
      <alignment horizontal="center" vertical="center"/>
    </xf>
    <xf numFmtId="1" fontId="0" fillId="0" borderId="5" xfId="2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168" fontId="0" fillId="8" borderId="3" xfId="2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 wrapText="1"/>
    </xf>
    <xf numFmtId="49" fontId="1" fillId="2" borderId="7" xfId="0" applyNumberFormat="1" applyFont="1" applyFill="1" applyBorder="1" applyAlignment="1">
      <alignment horizontal="left" wrapText="1"/>
    </xf>
    <xf numFmtId="1" fontId="0" fillId="2" borderId="7" xfId="0" applyNumberFormat="1" applyFill="1" applyBorder="1" applyAlignment="1">
      <alignment horizontal="left" indent="4"/>
    </xf>
    <xf numFmtId="0" fontId="0" fillId="2" borderId="31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170" fontId="0" fillId="2" borderId="18" xfId="3" applyNumberFormat="1" applyFont="1" applyFill="1" applyBorder="1" applyAlignment="1">
      <alignment horizontal="left"/>
    </xf>
    <xf numFmtId="171" fontId="0" fillId="2" borderId="18" xfId="3" applyNumberFormat="1" applyFont="1" applyFill="1" applyBorder="1" applyAlignment="1">
      <alignment horizontal="left"/>
    </xf>
    <xf numFmtId="170" fontId="0" fillId="2" borderId="18" xfId="3" applyNumberFormat="1" applyFont="1" applyFill="1" applyBorder="1" applyAlignment="1">
      <alignment horizontal="left" wrapText="1"/>
    </xf>
    <xf numFmtId="44" fontId="0" fillId="2" borderId="19" xfId="3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52" xfId="0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9" fillId="2" borderId="44" xfId="1" applyFont="1" applyFill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22" fillId="0" borderId="52" xfId="0" applyNumberFormat="1" applyFont="1" applyFill="1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 vertical="center"/>
    </xf>
    <xf numFmtId="1" fontId="0" fillId="0" borderId="53" xfId="2" applyNumberFormat="1" applyFont="1" applyBorder="1" applyAlignment="1">
      <alignment horizontal="center" vertical="center"/>
    </xf>
    <xf numFmtId="168" fontId="0" fillId="0" borderId="53" xfId="2" applyNumberFormat="1" applyFont="1" applyBorder="1" applyAlignment="1">
      <alignment horizontal="center" vertical="center"/>
    </xf>
    <xf numFmtId="168" fontId="0" fillId="0" borderId="54" xfId="2" applyNumberFormat="1" applyFont="1" applyBorder="1" applyAlignment="1">
      <alignment vertical="center"/>
    </xf>
    <xf numFmtId="1" fontId="0" fillId="8" borderId="42" xfId="2" applyNumberFormat="1" applyFont="1" applyFill="1" applyBorder="1" applyAlignment="1">
      <alignment horizontal="center" vertical="center"/>
    </xf>
    <xf numFmtId="200" fontId="0" fillId="0" borderId="22" xfId="2" applyNumberFormat="1" applyFont="1" applyBorder="1" applyAlignment="1">
      <alignment horizontal="center" vertical="center"/>
    </xf>
    <xf numFmtId="183" fontId="0" fillId="0" borderId="41" xfId="0" applyNumberFormat="1" applyBorder="1" applyAlignment="1">
      <alignment horizontal="center" vertical="center"/>
    </xf>
    <xf numFmtId="183" fontId="0" fillId="0" borderId="52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5" fillId="0" borderId="1" xfId="0" applyFont="1" applyBorder="1"/>
    <xf numFmtId="9" fontId="19" fillId="0" borderId="1" xfId="4" applyFont="1" applyBorder="1"/>
    <xf numFmtId="9" fontId="0" fillId="0" borderId="0" xfId="0" applyNumberFormat="1" applyBorder="1" applyAlignment="1">
      <alignment horizontal="center"/>
    </xf>
    <xf numFmtId="9" fontId="0" fillId="0" borderId="35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15" fillId="0" borderId="1" xfId="0" applyFont="1" applyBorder="1" applyAlignment="1">
      <alignment horizontal="center"/>
    </xf>
    <xf numFmtId="9" fontId="15" fillId="0" borderId="1" xfId="4" applyFont="1" applyBorder="1"/>
    <xf numFmtId="0" fontId="0" fillId="0" borderId="0" xfId="0" applyBorder="1" applyAlignment="1"/>
    <xf numFmtId="168" fontId="0" fillId="0" borderId="0" xfId="2" applyNumberFormat="1" applyFont="1" applyBorder="1"/>
    <xf numFmtId="165" fontId="19" fillId="0" borderId="0" xfId="0" applyNumberFormat="1" applyFon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185" fontId="0" fillId="0" borderId="1" xfId="3" applyNumberFormat="1" applyFont="1" applyBorder="1"/>
    <xf numFmtId="0" fontId="0" fillId="0" borderId="1" xfId="0" applyBorder="1" applyAlignment="1"/>
    <xf numFmtId="0" fontId="11" fillId="0" borderId="1" xfId="0" applyFont="1" applyBorder="1" applyAlignment="1">
      <alignment horizontal="right"/>
    </xf>
    <xf numFmtId="0" fontId="9" fillId="0" borderId="1" xfId="1" applyFont="1" applyBorder="1" applyAlignment="1"/>
    <xf numFmtId="0" fontId="1" fillId="0" borderId="1" xfId="0" applyFont="1" applyBorder="1"/>
    <xf numFmtId="185" fontId="24" fillId="0" borderId="1" xfId="3" applyNumberFormat="1" applyFont="1" applyBorder="1"/>
    <xf numFmtId="0" fontId="9" fillId="0" borderId="1" xfId="1" applyFont="1" applyBorder="1"/>
    <xf numFmtId="0" fontId="0" fillId="0" borderId="0" xfId="0" applyFill="1" applyBorder="1"/>
    <xf numFmtId="185" fontId="24" fillId="8" borderId="1" xfId="3" applyNumberFormat="1" applyFont="1" applyFill="1" applyBorder="1"/>
    <xf numFmtId="185" fontId="0" fillId="8" borderId="1" xfId="3" applyNumberFormat="1" applyFont="1" applyFill="1" applyBorder="1"/>
    <xf numFmtId="185" fontId="0" fillId="0" borderId="1" xfId="0" applyNumberFormat="1" applyBorder="1"/>
    <xf numFmtId="185" fontId="0" fillId="8" borderId="1" xfId="0" applyNumberFormat="1" applyFill="1" applyBorder="1"/>
    <xf numFmtId="0" fontId="0" fillId="2" borderId="1" xfId="0" applyFill="1" applyBorder="1" applyAlignment="1">
      <alignment horizontal="center"/>
    </xf>
    <xf numFmtId="185" fontId="0" fillId="0" borderId="1" xfId="3" applyNumberFormat="1" applyFont="1" applyFill="1" applyBorder="1"/>
    <xf numFmtId="9" fontId="0" fillId="0" borderId="1" xfId="0" applyNumberFormat="1" applyBorder="1" applyAlignment="1">
      <alignment horizontal="center"/>
    </xf>
    <xf numFmtId="1" fontId="0" fillId="0" borderId="42" xfId="2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29" fillId="0" borderId="18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right" vertical="center"/>
    </xf>
    <xf numFmtId="206" fontId="1" fillId="0" borderId="1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08" fontId="0" fillId="0" borderId="0" xfId="0" applyNumberFormat="1"/>
    <xf numFmtId="210" fontId="0" fillId="0" borderId="0" xfId="0" applyNumberFormat="1"/>
    <xf numFmtId="211" fontId="0" fillId="0" borderId="0" xfId="0" applyNumberFormat="1"/>
    <xf numFmtId="211" fontId="0" fillId="0" borderId="14" xfId="0" applyNumberFormat="1" applyBorder="1"/>
    <xf numFmtId="0" fontId="0" fillId="0" borderId="0" xfId="0" applyAlignment="1">
      <alignment horizontal="left" indent="3"/>
    </xf>
    <xf numFmtId="209" fontId="0" fillId="0" borderId="0" xfId="0" applyNumberFormat="1"/>
    <xf numFmtId="212" fontId="0" fillId="0" borderId="0" xfId="0" applyNumberFormat="1"/>
    <xf numFmtId="43" fontId="0" fillId="0" borderId="0" xfId="2" applyFont="1"/>
    <xf numFmtId="43" fontId="0" fillId="0" borderId="0" xfId="0" applyNumberFormat="1"/>
    <xf numFmtId="0" fontId="0" fillId="4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/>
    </xf>
    <xf numFmtId="0" fontId="0" fillId="9" borderId="0" xfId="0" applyFill="1"/>
    <xf numFmtId="0" fontId="6" fillId="9" borderId="0" xfId="0" applyFont="1" applyFill="1" applyAlignment="1">
      <alignment horizontal="center"/>
    </xf>
    <xf numFmtId="0" fontId="6" fillId="9" borderId="0" xfId="0" applyFont="1" applyFill="1"/>
    <xf numFmtId="0" fontId="26" fillId="9" borderId="1" xfId="0" applyNumberFormat="1" applyFont="1" applyFill="1" applyBorder="1" applyAlignment="1">
      <alignment horizontal="center" vertical="center"/>
    </xf>
    <xf numFmtId="0" fontId="12" fillId="9" borderId="1" xfId="0" applyNumberFormat="1" applyFont="1" applyFill="1" applyBorder="1" applyAlignment="1">
      <alignment horizontal="center" vertical="center"/>
    </xf>
    <xf numFmtId="0" fontId="28" fillId="9" borderId="1" xfId="0" applyNumberFormat="1" applyFont="1" applyFill="1" applyBorder="1" applyAlignment="1">
      <alignment horizontal="center" vertical="center"/>
    </xf>
    <xf numFmtId="0" fontId="25" fillId="9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32" fillId="0" borderId="57" xfId="0" applyNumberFormat="1" applyFont="1" applyFill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61" xfId="0" applyNumberFormat="1" applyFont="1" applyFill="1" applyBorder="1" applyAlignment="1">
      <alignment horizontal="center" vertical="center"/>
    </xf>
    <xf numFmtId="1" fontId="32" fillId="0" borderId="61" xfId="0" applyNumberFormat="1" applyFont="1" applyFill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213" fontId="0" fillId="10" borderId="0" xfId="0" applyNumberFormat="1" applyFill="1"/>
    <xf numFmtId="214" fontId="0" fillId="10" borderId="0" xfId="0" applyNumberFormat="1" applyFill="1"/>
    <xf numFmtId="215" fontId="0" fillId="0" borderId="0" xfId="0" applyNumberFormat="1" applyFill="1"/>
    <xf numFmtId="9" fontId="0" fillId="10" borderId="0" xfId="0" applyNumberFormat="1" applyFill="1"/>
    <xf numFmtId="216" fontId="0" fillId="10" borderId="0" xfId="0" applyNumberFormat="1" applyFill="1"/>
    <xf numFmtId="9" fontId="0" fillId="0" borderId="14" xfId="0" applyNumberFormat="1" applyBorder="1"/>
    <xf numFmtId="215" fontId="0" fillId="0" borderId="0" xfId="0" applyNumberFormat="1"/>
    <xf numFmtId="187" fontId="0" fillId="0" borderId="0" xfId="0" applyNumberFormat="1"/>
    <xf numFmtId="185" fontId="0" fillId="9" borderId="1" xfId="3" applyNumberFormat="1" applyFont="1" applyFill="1" applyBorder="1"/>
    <xf numFmtId="168" fontId="0" fillId="9" borderId="1" xfId="2" applyNumberFormat="1" applyFont="1" applyFill="1" applyBorder="1"/>
    <xf numFmtId="217" fontId="0" fillId="0" borderId="0" xfId="0" applyNumberFormat="1"/>
    <xf numFmtId="217" fontId="0" fillId="0" borderId="14" xfId="0" applyNumberFormat="1" applyBorder="1"/>
    <xf numFmtId="217" fontId="15" fillId="0" borderId="0" xfId="0" applyNumberFormat="1" applyFont="1"/>
    <xf numFmtId="0" fontId="5" fillId="5" borderId="7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" fontId="32" fillId="0" borderId="1" xfId="0" applyNumberFormat="1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0" fillId="9" borderId="0" xfId="0" applyFill="1" applyAlignment="1">
      <alignment vertical="center" wrapText="1"/>
    </xf>
    <xf numFmtId="0" fontId="15" fillId="9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quotePrefix="1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vertical="center" wrapText="1"/>
    </xf>
    <xf numFmtId="0" fontId="16" fillId="9" borderId="0" xfId="0" applyFont="1" applyFill="1" applyBorder="1"/>
    <xf numFmtId="0" fontId="16" fillId="9" borderId="65" xfId="0" applyFont="1" applyFill="1" applyBorder="1" applyAlignment="1">
      <alignment vertical="center"/>
    </xf>
    <xf numFmtId="0" fontId="16" fillId="9" borderId="66" xfId="0" applyFont="1" applyFill="1" applyBorder="1"/>
    <xf numFmtId="0" fontId="16" fillId="9" borderId="67" xfId="0" applyFont="1" applyFill="1" applyBorder="1" applyAlignment="1">
      <alignment vertical="center"/>
    </xf>
    <xf numFmtId="0" fontId="16" fillId="9" borderId="68" xfId="0" applyFont="1" applyFill="1" applyBorder="1"/>
    <xf numFmtId="0" fontId="16" fillId="9" borderId="69" xfId="0" applyFont="1" applyFill="1" applyBorder="1"/>
    <xf numFmtId="183" fontId="0" fillId="0" borderId="7" xfId="0" applyNumberForma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183" fontId="0" fillId="0" borderId="34" xfId="0" applyNumberFormat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0" fillId="0" borderId="35" xfId="0" applyNumberForma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left" vertical="center"/>
    </xf>
    <xf numFmtId="0" fontId="9" fillId="2" borderId="19" xfId="1" applyFont="1" applyFill="1" applyBorder="1" applyAlignment="1">
      <alignment horizontal="left" vertical="center"/>
    </xf>
    <xf numFmtId="0" fontId="9" fillId="2" borderId="9" xfId="1" applyFont="1" applyFill="1" applyBorder="1" applyAlignment="1">
      <alignment horizontal="left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/>
    </xf>
    <xf numFmtId="1" fontId="0" fillId="0" borderId="12" xfId="2" applyNumberFormat="1" applyFont="1" applyBorder="1" applyAlignment="1">
      <alignment horizontal="center" vertical="center"/>
    </xf>
    <xf numFmtId="1" fontId="0" fillId="0" borderId="10" xfId="2" applyNumberFormat="1" applyFont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" fontId="0" fillId="0" borderId="31" xfId="2" applyNumberFormat="1" applyFont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85" fontId="0" fillId="0" borderId="1" xfId="3" applyNumberFormat="1" applyFont="1" applyBorder="1" applyAlignment="1">
      <alignment horizontal="center" vertical="center"/>
    </xf>
    <xf numFmtId="168" fontId="0" fillId="0" borderId="12" xfId="2" applyNumberFormat="1" applyFont="1" applyBorder="1" applyAlignment="1">
      <alignment horizontal="center" vertical="center"/>
    </xf>
    <xf numFmtId="168" fontId="0" fillId="0" borderId="10" xfId="2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13" xfId="2" applyNumberFormat="1" applyFont="1" applyBorder="1" applyAlignment="1">
      <alignment horizontal="center" vertical="center"/>
    </xf>
    <xf numFmtId="1" fontId="0" fillId="0" borderId="11" xfId="2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85" fontId="0" fillId="0" borderId="7" xfId="3" applyNumberFormat="1" applyFont="1" applyBorder="1" applyAlignment="1">
      <alignment horizontal="center" vertical="center"/>
    </xf>
    <xf numFmtId="185" fontId="0" fillId="0" borderId="2" xfId="3" applyNumberFormat="1" applyFont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183" fontId="0" fillId="0" borderId="25" xfId="0" applyNumberForma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2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2" borderId="39" xfId="0" applyFill="1" applyBorder="1" applyAlignment="1">
      <alignment horizontal="left" vertical="center"/>
    </xf>
    <xf numFmtId="0" fontId="0" fillId="2" borderId="49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49" fontId="15" fillId="2" borderId="43" xfId="0" applyNumberFormat="1" applyFont="1" applyFill="1" applyBorder="1" applyAlignment="1">
      <alignment horizontal="left" vertical="center"/>
    </xf>
    <xf numFmtId="49" fontId="15" fillId="2" borderId="46" xfId="0" applyNumberFormat="1" applyFont="1" applyFill="1" applyBorder="1" applyAlignment="1">
      <alignment horizontal="left" vertical="center"/>
    </xf>
    <xf numFmtId="49" fontId="15" fillId="2" borderId="40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7" xfId="2" applyNumberFormat="1" applyFont="1" applyBorder="1" applyAlignment="1">
      <alignment horizontal="center" vertical="center"/>
    </xf>
    <xf numFmtId="3" fontId="0" fillId="0" borderId="2" xfId="2" applyNumberFormat="1" applyFon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0" fontId="9" fillId="2" borderId="8" xfId="1" applyFont="1" applyFill="1" applyBorder="1" applyAlignment="1">
      <alignment horizontal="left" vertical="center" wrapText="1"/>
    </xf>
    <xf numFmtId="0" fontId="9" fillId="2" borderId="12" xfId="1" applyFont="1" applyFill="1" applyBorder="1" applyAlignment="1">
      <alignment horizontal="left" vertical="center"/>
    </xf>
    <xf numFmtId="0" fontId="9" fillId="2" borderId="31" xfId="1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1" fontId="0" fillId="0" borderId="7" xfId="2" applyNumberFormat="1" applyFont="1" applyBorder="1" applyAlignment="1">
      <alignment horizontal="center" vertical="center"/>
    </xf>
    <xf numFmtId="1" fontId="0" fillId="0" borderId="2" xfId="2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85" fontId="0" fillId="0" borderId="17" xfId="3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left" vertical="center" wrapText="1"/>
    </xf>
    <xf numFmtId="0" fontId="15" fillId="2" borderId="41" xfId="0" applyFont="1" applyFill="1" applyBorder="1" applyAlignment="1">
      <alignment horizontal="left" vertical="center" wrapText="1"/>
    </xf>
    <xf numFmtId="0" fontId="15" fillId="2" borderId="42" xfId="0" applyFont="1" applyFill="1" applyBorder="1" applyAlignment="1">
      <alignment horizontal="left" vertical="center" wrapText="1"/>
    </xf>
    <xf numFmtId="183" fontId="0" fillId="0" borderId="50" xfId="0" applyNumberFormat="1" applyBorder="1" applyAlignment="1">
      <alignment horizontal="center" vertical="center"/>
    </xf>
    <xf numFmtId="0" fontId="0" fillId="0" borderId="0" xfId="0" applyAlignment="1">
      <alignment horizontal="left" vertical="top" indent="4"/>
    </xf>
    <xf numFmtId="0" fontId="0" fillId="0" borderId="0" xfId="0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4" fontId="33" fillId="9" borderId="0" xfId="0" applyNumberFormat="1" applyFont="1" applyFill="1" applyAlignment="1">
      <alignment horizontal="center"/>
    </xf>
    <xf numFmtId="0" fontId="33" fillId="9" borderId="0" xfId="0" applyFont="1" applyFill="1" applyAlignment="1">
      <alignment horizontal="center"/>
    </xf>
    <xf numFmtId="1" fontId="32" fillId="0" borderId="1" xfId="0" applyNumberFormat="1" applyFont="1" applyFill="1" applyBorder="1" applyAlignment="1">
      <alignment horizontal="center" vertical="center"/>
    </xf>
    <xf numFmtId="1" fontId="32" fillId="0" borderId="7" xfId="0" applyNumberFormat="1" applyFont="1" applyFill="1" applyBorder="1" applyAlignment="1">
      <alignment horizontal="center" vertical="center"/>
    </xf>
    <xf numFmtId="1" fontId="32" fillId="0" borderId="2" xfId="0" applyNumberFormat="1" applyFont="1" applyFill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1" fontId="32" fillId="0" borderId="58" xfId="0" applyNumberFormat="1" applyFont="1" applyFill="1" applyBorder="1" applyAlignment="1">
      <alignment horizontal="center" vertical="center"/>
    </xf>
    <xf numFmtId="1" fontId="32" fillId="0" borderId="59" xfId="0" applyNumberFormat="1" applyFont="1" applyFill="1" applyBorder="1" applyAlignment="1">
      <alignment horizontal="center" vertical="center"/>
    </xf>
    <xf numFmtId="168" fontId="0" fillId="9" borderId="1" xfId="2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60" xfId="0" applyNumberFormat="1" applyFont="1" applyFill="1" applyBorder="1" applyAlignment="1">
      <alignment horizontal="center" vertical="center"/>
    </xf>
    <xf numFmtId="1" fontId="32" fillId="0" borderId="7" xfId="0" applyNumberFormat="1" applyFont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/>
    </xf>
    <xf numFmtId="1" fontId="32" fillId="0" borderId="18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85" fontId="0" fillId="9" borderId="1" xfId="3" applyNumberFormat="1" applyFont="1" applyFill="1" applyBorder="1" applyAlignment="1">
      <alignment horizontal="center"/>
    </xf>
    <xf numFmtId="0" fontId="34" fillId="11" borderId="62" xfId="0" applyFont="1" applyFill="1" applyBorder="1" applyAlignment="1">
      <alignment horizontal="center" vertical="center"/>
    </xf>
    <xf numFmtId="0" fontId="34" fillId="11" borderId="63" xfId="0" applyFont="1" applyFill="1" applyBorder="1" applyAlignment="1">
      <alignment horizontal="center" vertical="center"/>
    </xf>
    <xf numFmtId="0" fontId="34" fillId="11" borderId="64" xfId="0" applyFont="1" applyFill="1" applyBorder="1" applyAlignment="1">
      <alignment horizontal="center" vertical="center"/>
    </xf>
    <xf numFmtId="0" fontId="34" fillId="11" borderId="65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34" fillId="11" borderId="66" xfId="0" applyFont="1" applyFill="1" applyBorder="1" applyAlignment="1">
      <alignment horizontal="center" vertical="center"/>
    </xf>
    <xf numFmtId="0" fontId="34" fillId="11" borderId="67" xfId="0" applyFont="1" applyFill="1" applyBorder="1" applyAlignment="1">
      <alignment horizontal="center" vertical="center"/>
    </xf>
    <xf numFmtId="0" fontId="34" fillId="11" borderId="68" xfId="0" applyFont="1" applyFill="1" applyBorder="1" applyAlignment="1">
      <alignment horizontal="center" vertical="center"/>
    </xf>
    <xf numFmtId="0" fontId="34" fillId="11" borderId="69" xfId="0" applyFont="1" applyFill="1" applyBorder="1" applyAlignment="1">
      <alignment horizontal="center" vertical="center"/>
    </xf>
    <xf numFmtId="185" fontId="0" fillId="9" borderId="7" xfId="3" applyNumberFormat="1" applyFont="1" applyFill="1" applyBorder="1" applyAlignment="1">
      <alignment horizontal="center"/>
    </xf>
    <xf numFmtId="185" fontId="0" fillId="9" borderId="2" xfId="3" applyNumberFormat="1" applyFont="1" applyFill="1" applyBorder="1" applyAlignment="1">
      <alignment horizontal="center"/>
    </xf>
    <xf numFmtId="185" fontId="0" fillId="9" borderId="18" xfId="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right" vertical="center"/>
    </xf>
    <xf numFmtId="165" fontId="1" fillId="0" borderId="5" xfId="0" applyNumberFormat="1" applyFont="1" applyFill="1" applyBorder="1" applyAlignment="1">
      <alignment horizontal="right" vertical="center"/>
    </xf>
    <xf numFmtId="206" fontId="1" fillId="0" borderId="3" xfId="0" applyNumberFormat="1" applyFont="1" applyFill="1" applyBorder="1" applyAlignment="1">
      <alignment horizontal="right" vertical="center"/>
    </xf>
    <xf numFmtId="206" fontId="1" fillId="0" borderId="5" xfId="0" applyNumberFormat="1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9" fontId="0" fillId="0" borderId="7" xfId="4" applyFont="1" applyBorder="1" applyAlignment="1">
      <alignment horizontal="center"/>
    </xf>
    <xf numFmtId="9" fontId="0" fillId="0" borderId="2" xfId="4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10" fontId="0" fillId="0" borderId="7" xfId="4" applyNumberFormat="1" applyFont="1" applyBorder="1" applyAlignment="1">
      <alignment horizontal="center"/>
    </xf>
    <xf numFmtId="10" fontId="0" fillId="0" borderId="2" xfId="4" applyNumberFormat="1" applyFont="1" applyBorder="1" applyAlignment="1">
      <alignment horizontal="center"/>
    </xf>
    <xf numFmtId="207" fontId="0" fillId="0" borderId="0" xfId="0" applyNumberFormat="1" applyAlignment="1">
      <alignment horizontal="center"/>
    </xf>
    <xf numFmtId="9" fontId="0" fillId="0" borderId="0" xfId="4" applyFont="1" applyAlignment="1">
      <alignment horizontal="center"/>
    </xf>
    <xf numFmtId="9" fontId="0" fillId="0" borderId="0" xfId="0" applyNumberFormat="1" applyAlignment="1">
      <alignment horizontal="center"/>
    </xf>
    <xf numFmtId="200" fontId="0" fillId="0" borderId="0" xfId="0" applyNumberFormat="1" applyAlignment="1">
      <alignment horizontal="center"/>
    </xf>
  </cellXfs>
  <cellStyles count="5">
    <cellStyle name="Hyperlink" xfId="1" builtinId="8"/>
    <cellStyle name="Komma" xfId="2" builtinId="3"/>
    <cellStyle name="Procent" xfId="4" builtinId="5"/>
    <cellStyle name="Standaard" xfId="0" builtinId="0"/>
    <cellStyle name="Valuta" xfId="3" builtinId="4"/>
  </cellStyles>
  <dxfs count="12">
    <dxf>
      <font>
        <color rgb="FFFF0000"/>
      </font>
    </dxf>
    <dxf>
      <font>
        <color theme="5"/>
      </font>
    </dxf>
    <dxf>
      <font>
        <color theme="7" tint="0.39994506668294322"/>
      </font>
    </dxf>
    <dxf>
      <font>
        <color theme="9"/>
      </font>
    </dxf>
    <dxf>
      <font>
        <color rgb="FFFF0000"/>
      </font>
    </dxf>
    <dxf>
      <font>
        <color theme="5"/>
      </font>
    </dxf>
    <dxf>
      <font>
        <color theme="7" tint="0.39994506668294322"/>
      </font>
    </dxf>
    <dxf>
      <font>
        <color theme="9"/>
      </font>
    </dxf>
    <dxf>
      <font>
        <color rgb="FFFF0000"/>
      </font>
    </dxf>
    <dxf>
      <font>
        <color theme="5"/>
      </font>
    </dxf>
    <dxf>
      <font>
        <color theme="7" tint="0.39994506668294322"/>
      </font>
    </dxf>
    <dxf>
      <font>
        <color theme="9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55788</xdr:colOff>
      <xdr:row>70</xdr:row>
      <xdr:rowOff>0</xdr:rowOff>
    </xdr:from>
    <xdr:to>
      <xdr:col>13</xdr:col>
      <xdr:colOff>1387849</xdr:colOff>
      <xdr:row>82</xdr:row>
      <xdr:rowOff>107675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24DEBDB-BFBB-4232-975F-31AB72F68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4553" y="10991642"/>
          <a:ext cx="4200767" cy="239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326652</xdr:colOff>
      <xdr:row>97</xdr:row>
      <xdr:rowOff>8404</xdr:rowOff>
    </xdr:from>
    <xdr:to>
      <xdr:col>19</xdr:col>
      <xdr:colOff>1313329</xdr:colOff>
      <xdr:row>113</xdr:row>
      <xdr:rowOff>65554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9810339-31A5-4EB9-80FB-BA8913CBB45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14997"/>
        <a:stretch/>
      </xdr:blipFill>
      <xdr:spPr bwMode="auto">
        <a:xfrm>
          <a:off x="23522828" y="13164110"/>
          <a:ext cx="3855384" cy="3105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138544</xdr:colOff>
      <xdr:row>85</xdr:row>
      <xdr:rowOff>121225</xdr:rowOff>
    </xdr:from>
    <xdr:to>
      <xdr:col>26</xdr:col>
      <xdr:colOff>1211</xdr:colOff>
      <xdr:row>92</xdr:row>
      <xdr:rowOff>25339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14C52F9-CFCA-4D92-BA17-C686A3D34F6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945"/>
        <a:stretch>
          <a:fillRect/>
        </a:stretch>
      </xdr:blipFill>
      <xdr:spPr bwMode="auto">
        <a:xfrm>
          <a:off x="17318180" y="15932725"/>
          <a:ext cx="7560310" cy="12376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erbruggen-paddestoelen.nl/innovatie/" TargetMode="External"/><Relationship Id="rId13" Type="http://schemas.openxmlformats.org/officeDocument/2006/relationships/hyperlink" Target="https://www.vertoro.nl/" TargetMode="External"/><Relationship Id="rId18" Type="http://schemas.openxmlformats.org/officeDocument/2006/relationships/hyperlink" Target="https://www.aquafarm.nl/" TargetMode="External"/><Relationship Id="rId26" Type="http://schemas.openxmlformats.org/officeDocument/2006/relationships/hyperlink" Target="http://edepot.wur.nl/148665" TargetMode="External"/><Relationship Id="rId3" Type="http://schemas.openxmlformats.org/officeDocument/2006/relationships/hyperlink" Target="http://www.npsp.nl/page.asp?ID=14" TargetMode="External"/><Relationship Id="rId21" Type="http://schemas.openxmlformats.org/officeDocument/2006/relationships/hyperlink" Target="https://www.ecn.nl/phyllis2/Browse/Standard/ECN-Phyllis" TargetMode="External"/><Relationship Id="rId7" Type="http://schemas.openxmlformats.org/officeDocument/2006/relationships/hyperlink" Target="http://www.hollandbioplastics.nl/wat-zijn-bioplastics/productenverwerkers/" TargetMode="External"/><Relationship Id="rId12" Type="http://schemas.openxmlformats.org/officeDocument/2006/relationships/hyperlink" Target="https://vepa.nl/duurzaam/recyclen-van-pet-flessen/" TargetMode="External"/><Relationship Id="rId17" Type="http://schemas.openxmlformats.org/officeDocument/2006/relationships/hyperlink" Target="http://edepot.wur.nl/329929" TargetMode="External"/><Relationship Id="rId25" Type="http://schemas.openxmlformats.org/officeDocument/2006/relationships/hyperlink" Target="http://edepot.wur.nl/453178" TargetMode="External"/><Relationship Id="rId2" Type="http://schemas.openxmlformats.org/officeDocument/2006/relationships/hyperlink" Target="http://www.netics.nl/producten/bouwen-met-baggerspecie/" TargetMode="External"/><Relationship Id="rId16" Type="http://schemas.openxmlformats.org/officeDocument/2006/relationships/hyperlink" Target="https://www.ecn.nl/publications/PdfFetch.aspx?nr=ECN-L--13-038" TargetMode="External"/><Relationship Id="rId20" Type="http://schemas.openxmlformats.org/officeDocument/2006/relationships/hyperlink" Target="https://www.ecn.nl/phyllis2/Browse/Standard/ECN-Phyllis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newfoss.com/" TargetMode="External"/><Relationship Id="rId6" Type="http://schemas.openxmlformats.org/officeDocument/2006/relationships/hyperlink" Target="http://www.bambooder.nl/" TargetMode="External"/><Relationship Id="rId11" Type="http://schemas.openxmlformats.org/officeDocument/2006/relationships/hyperlink" Target="http://www.torrcoal.com/" TargetMode="External"/><Relationship Id="rId24" Type="http://schemas.openxmlformats.org/officeDocument/2006/relationships/hyperlink" Target="http://www.harvestagg.nl/green-goods-concept1.html" TargetMode="External"/><Relationship Id="rId5" Type="http://schemas.openxmlformats.org/officeDocument/2006/relationships/hyperlink" Target="https://grassa.nl/" TargetMode="External"/><Relationship Id="rId15" Type="http://schemas.openxmlformats.org/officeDocument/2006/relationships/hyperlink" Target="https://www.rvo.nl/sites/default/files/2014/04/Definitief_Een%20studie%20naar%20kansen%20voor%20grasvergisting.pdf" TargetMode="External"/><Relationship Id="rId23" Type="http://schemas.openxmlformats.org/officeDocument/2006/relationships/hyperlink" Target="https://mineralvalley.nl/wp-content/uploads/sites/3/2018/07/Draft-rapport-bermmaaisel.pdf" TargetMode="External"/><Relationship Id="rId28" Type="http://schemas.openxmlformats.org/officeDocument/2006/relationships/hyperlink" Target="https://nmi-agro.nl/images/Rapport_1379-Samenvatting-en-conclusies.pdf" TargetMode="External"/><Relationship Id="rId10" Type="http://schemas.openxmlformats.org/officeDocument/2006/relationships/hyperlink" Target="http://www.biotortech.com/" TargetMode="External"/><Relationship Id="rId19" Type="http://schemas.openxmlformats.org/officeDocument/2006/relationships/hyperlink" Target="file:///C:\Users\dennis\Downloads\Dennis%20Froeling%20HVC%20Presentatie%20bermgrasverwerking%20Stadswerk%20170202.pdf" TargetMode="External"/><Relationship Id="rId4" Type="http://schemas.openxmlformats.org/officeDocument/2006/relationships/hyperlink" Target="http://www.indugras.nl/het-proces/" TargetMode="External"/><Relationship Id="rId9" Type="http://schemas.openxmlformats.org/officeDocument/2006/relationships/hyperlink" Target="https://www.millvision.eu/" TargetMode="External"/><Relationship Id="rId14" Type="http://schemas.openxmlformats.org/officeDocument/2006/relationships/hyperlink" Target="https://www.grass2grit.nl/" TargetMode="External"/><Relationship Id="rId22" Type="http://schemas.openxmlformats.org/officeDocument/2006/relationships/hyperlink" Target="http://www.innovatieagroennatuur.nl/sitemanager/downloadattachment.php?id=1lOMbyQa2hHMJu4FQYSurK" TargetMode="External"/><Relationship Id="rId27" Type="http://schemas.openxmlformats.org/officeDocument/2006/relationships/hyperlink" Target="http://ecp-biomass.eu/node/83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dexmundi.com/" TargetMode="External"/><Relationship Id="rId2" Type="http://schemas.openxmlformats.org/officeDocument/2006/relationships/hyperlink" Target="http://edepot.wur.nl/383545" TargetMode="External"/><Relationship Id="rId1" Type="http://schemas.openxmlformats.org/officeDocument/2006/relationships/hyperlink" Target="http://edepot.wur.nl/425160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2"/>
  <sheetViews>
    <sheetView showGridLines="0" topLeftCell="A93" zoomScale="115" zoomScaleNormal="115" workbookViewId="0">
      <pane xSplit="1" topLeftCell="B1" activePane="topRight" state="frozen"/>
      <selection activeCell="A7" sqref="A7"/>
      <selection pane="topRight" activeCell="D152" sqref="D152"/>
    </sheetView>
  </sheetViews>
  <sheetFormatPr defaultRowHeight="15" outlineLevelRow="1" outlineLevelCol="1" x14ac:dyDescent="0.25"/>
  <cols>
    <col min="1" max="1" width="30" customWidth="1"/>
    <col min="2" max="2" width="30.140625" customWidth="1"/>
    <col min="3" max="3" width="25.7109375" bestFit="1" customWidth="1"/>
    <col min="4" max="4" width="25.85546875" bestFit="1" customWidth="1"/>
    <col min="5" max="5" width="25.140625" customWidth="1"/>
    <col min="6" max="14" width="21.42578125" customWidth="1"/>
    <col min="15" max="16" width="10.7109375" customWidth="1"/>
    <col min="17" max="17" width="14.42578125" customWidth="1"/>
    <col min="18" max="18" width="21.42578125" customWidth="1"/>
    <col min="19" max="19" width="21.42578125" customWidth="1" outlineLevel="1"/>
    <col min="20" max="21" width="21.42578125" customWidth="1"/>
    <col min="22" max="22" width="21.42578125" customWidth="1" outlineLevel="1"/>
    <col min="23" max="23" width="21.42578125" customWidth="1"/>
    <col min="24" max="24" width="12.28515625" bestFit="1" customWidth="1"/>
    <col min="25" max="25" width="14.85546875" customWidth="1"/>
    <col min="26" max="27" width="21.42578125" customWidth="1"/>
    <col min="28" max="28" width="11.7109375" bestFit="1" customWidth="1"/>
    <col min="29" max="29" width="15.42578125" bestFit="1" customWidth="1"/>
    <col min="30" max="30" width="10" hidden="1" customWidth="1" outlineLevel="1"/>
    <col min="31" max="31" width="11.85546875" hidden="1" customWidth="1" outlineLevel="1"/>
    <col min="32" max="32" width="11.28515625" customWidth="1" collapsed="1"/>
    <col min="33" max="33" width="10.28515625" bestFit="1" customWidth="1"/>
    <col min="34" max="34" width="11.7109375" bestFit="1" customWidth="1"/>
    <col min="35" max="35" width="14.7109375" customWidth="1"/>
    <col min="36" max="36" width="7.140625" customWidth="1"/>
    <col min="37" max="37" width="5" customWidth="1"/>
    <col min="38" max="38" width="4.85546875" customWidth="1"/>
    <col min="39" max="39" width="6.28515625" customWidth="1"/>
    <col min="40" max="40" width="15.7109375" customWidth="1"/>
    <col min="41" max="41" width="9.42578125" customWidth="1"/>
  </cols>
  <sheetData>
    <row r="1" spans="1:41" ht="49.5" customHeight="1" thickBot="1" x14ac:dyDescent="0.3">
      <c r="A1" s="115"/>
      <c r="B1" s="628" t="s">
        <v>102</v>
      </c>
      <c r="C1" s="628"/>
      <c r="D1" s="628"/>
    </row>
    <row r="2" spans="1:41" s="4" customFormat="1" ht="15" customHeight="1" x14ac:dyDescent="0.25">
      <c r="A2" s="575" t="s">
        <v>38</v>
      </c>
      <c r="B2" s="576"/>
      <c r="C2" s="587" t="s">
        <v>0</v>
      </c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9"/>
      <c r="U2" s="592" t="s">
        <v>145</v>
      </c>
      <c r="V2" s="593"/>
      <c r="W2" s="593"/>
      <c r="X2" s="594"/>
      <c r="Y2" s="595" t="s">
        <v>123</v>
      </c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8"/>
      <c r="AL2" s="588"/>
      <c r="AM2" s="588"/>
      <c r="AN2" s="596"/>
    </row>
    <row r="3" spans="1:41" s="4" customFormat="1" ht="37.5" customHeight="1" x14ac:dyDescent="0.25">
      <c r="A3" s="577"/>
      <c r="B3" s="578"/>
      <c r="C3" s="336" t="s">
        <v>43</v>
      </c>
      <c r="D3" s="584" t="s">
        <v>142</v>
      </c>
      <c r="E3" s="585"/>
      <c r="F3" s="586"/>
      <c r="G3" s="584" t="s">
        <v>44</v>
      </c>
      <c r="H3" s="585"/>
      <c r="I3" s="585"/>
      <c r="J3" s="585"/>
      <c r="K3" s="585"/>
      <c r="L3" s="585"/>
      <c r="M3" s="585"/>
      <c r="N3" s="586"/>
      <c r="O3" s="584" t="s">
        <v>104</v>
      </c>
      <c r="P3" s="585"/>
      <c r="Q3" s="585"/>
      <c r="R3" s="586"/>
      <c r="S3" s="242" t="s">
        <v>37</v>
      </c>
      <c r="T3" s="597" t="s">
        <v>176</v>
      </c>
      <c r="U3" s="597"/>
      <c r="V3" s="41" t="s">
        <v>2</v>
      </c>
      <c r="W3" s="7" t="s">
        <v>6</v>
      </c>
      <c r="X3" s="581" t="s">
        <v>1</v>
      </c>
      <c r="Y3" s="583"/>
      <c r="Z3" s="240" t="s">
        <v>33</v>
      </c>
      <c r="AA3" s="252" t="s">
        <v>3</v>
      </c>
      <c r="AB3" s="598" t="s">
        <v>4</v>
      </c>
      <c r="AC3" s="604"/>
      <c r="AD3" s="581" t="s">
        <v>99</v>
      </c>
      <c r="AE3" s="583"/>
      <c r="AF3" s="581" t="s">
        <v>5</v>
      </c>
      <c r="AG3" s="582"/>
      <c r="AH3" s="582"/>
      <c r="AI3" s="583"/>
      <c r="AJ3" s="598" t="s">
        <v>82</v>
      </c>
      <c r="AK3" s="599"/>
      <c r="AL3" s="599"/>
      <c r="AM3" s="599"/>
      <c r="AN3" s="600"/>
    </row>
    <row r="4" spans="1:41" s="4" customFormat="1" ht="15" customHeight="1" x14ac:dyDescent="0.25">
      <c r="A4" s="116" t="s">
        <v>39</v>
      </c>
      <c r="B4" s="319"/>
      <c r="C4" s="590" t="s">
        <v>21</v>
      </c>
      <c r="D4" s="580"/>
      <c r="E4" s="16" t="s">
        <v>57</v>
      </c>
      <c r="F4" s="579" t="s">
        <v>260</v>
      </c>
      <c r="G4" s="580"/>
      <c r="H4" s="241" t="s">
        <v>201</v>
      </c>
      <c r="I4" s="579" t="s">
        <v>7</v>
      </c>
      <c r="J4" s="580"/>
      <c r="K4" s="579" t="s">
        <v>47</v>
      </c>
      <c r="L4" s="591"/>
      <c r="M4" s="580"/>
      <c r="N4" s="239" t="s">
        <v>92</v>
      </c>
      <c r="O4" s="239" t="s">
        <v>21</v>
      </c>
      <c r="P4" s="490" t="s">
        <v>30</v>
      </c>
      <c r="Q4" s="491"/>
      <c r="R4" s="24" t="s">
        <v>105</v>
      </c>
      <c r="S4" s="247" t="s">
        <v>8</v>
      </c>
      <c r="T4" s="247" t="s">
        <v>9</v>
      </c>
      <c r="U4" s="25" t="s">
        <v>110</v>
      </c>
      <c r="V4" s="20" t="s">
        <v>78</v>
      </c>
      <c r="W4" s="22" t="s">
        <v>36</v>
      </c>
      <c r="X4" s="20" t="s">
        <v>32</v>
      </c>
      <c r="Y4" s="5" t="s">
        <v>30</v>
      </c>
      <c r="Z4" s="5" t="s">
        <v>34</v>
      </c>
      <c r="AA4" s="5" t="s">
        <v>56</v>
      </c>
      <c r="AB4" s="515" t="s">
        <v>31</v>
      </c>
      <c r="AC4" s="516"/>
      <c r="AD4" s="244" t="s">
        <v>81</v>
      </c>
      <c r="AE4" s="238" t="s">
        <v>96</v>
      </c>
      <c r="AF4" s="244" t="s">
        <v>81</v>
      </c>
      <c r="AG4" s="515" t="s">
        <v>29</v>
      </c>
      <c r="AH4" s="516"/>
      <c r="AI4" s="5" t="s">
        <v>31</v>
      </c>
      <c r="AJ4" s="566" t="s">
        <v>81</v>
      </c>
      <c r="AK4" s="567"/>
      <c r="AL4" s="568"/>
      <c r="AM4" s="515" t="s">
        <v>31</v>
      </c>
      <c r="AN4" s="569"/>
    </row>
    <row r="5" spans="1:41" s="4" customFormat="1" x14ac:dyDescent="0.25">
      <c r="A5" s="116" t="s">
        <v>40</v>
      </c>
      <c r="B5" s="319"/>
      <c r="C5" s="337" t="s">
        <v>41</v>
      </c>
      <c r="D5" s="248" t="s">
        <v>42</v>
      </c>
      <c r="E5" s="249" t="s">
        <v>58</v>
      </c>
      <c r="F5" s="229" t="s">
        <v>140</v>
      </c>
      <c r="G5" s="248" t="s">
        <v>137</v>
      </c>
      <c r="H5" s="482" t="s">
        <v>35</v>
      </c>
      <c r="I5" s="484"/>
      <c r="J5" s="482" t="s">
        <v>45</v>
      </c>
      <c r="K5" s="484"/>
      <c r="L5" s="229" t="s">
        <v>46</v>
      </c>
      <c r="M5" s="229" t="s">
        <v>48</v>
      </c>
      <c r="N5" s="229" t="s">
        <v>93</v>
      </c>
      <c r="O5" s="482" t="s">
        <v>271</v>
      </c>
      <c r="P5" s="483"/>
      <c r="Q5" s="484"/>
      <c r="R5" s="229" t="s">
        <v>107</v>
      </c>
      <c r="S5" s="248" t="s">
        <v>72</v>
      </c>
      <c r="T5" s="248" t="s">
        <v>49</v>
      </c>
      <c r="U5" s="220" t="s">
        <v>109</v>
      </c>
      <c r="V5" s="19" t="s">
        <v>77</v>
      </c>
      <c r="W5" s="248" t="s">
        <v>55</v>
      </c>
      <c r="X5" s="517" t="s">
        <v>261</v>
      </c>
      <c r="Y5" s="518"/>
      <c r="Z5" s="249" t="s">
        <v>113</v>
      </c>
      <c r="AA5" s="249"/>
      <c r="AB5" s="517"/>
      <c r="AC5" s="518"/>
      <c r="AD5" s="517" t="s">
        <v>97</v>
      </c>
      <c r="AE5" s="518"/>
      <c r="AF5" s="517" t="s">
        <v>69</v>
      </c>
      <c r="AG5" s="570"/>
      <c r="AH5" s="570"/>
      <c r="AI5" s="518"/>
      <c r="AJ5" s="517" t="s">
        <v>85</v>
      </c>
      <c r="AK5" s="570"/>
      <c r="AL5" s="517" t="s">
        <v>87</v>
      </c>
      <c r="AM5" s="570"/>
      <c r="AN5" s="117" t="s">
        <v>128</v>
      </c>
    </row>
    <row r="6" spans="1:41" s="13" customFormat="1" ht="15" customHeight="1" thickBot="1" x14ac:dyDescent="0.3">
      <c r="A6" s="118" t="s">
        <v>79</v>
      </c>
      <c r="B6" s="320"/>
      <c r="C6" s="338" t="s">
        <v>66</v>
      </c>
      <c r="D6" s="12" t="s">
        <v>65</v>
      </c>
      <c r="E6" s="23" t="s">
        <v>67</v>
      </c>
      <c r="F6" s="9" t="s">
        <v>155</v>
      </c>
      <c r="G6" s="9" t="s">
        <v>139</v>
      </c>
      <c r="H6" s="10" t="s">
        <v>51</v>
      </c>
      <c r="I6" s="10"/>
      <c r="J6" s="234" t="s">
        <v>83</v>
      </c>
      <c r="K6" s="233"/>
      <c r="L6" s="9" t="s">
        <v>53</v>
      </c>
      <c r="M6" s="9" t="s">
        <v>68</v>
      </c>
      <c r="N6" s="9" t="s">
        <v>95</v>
      </c>
      <c r="O6" s="485" t="s">
        <v>270</v>
      </c>
      <c r="P6" s="486"/>
      <c r="Q6" s="487"/>
      <c r="R6" s="9" t="s">
        <v>106</v>
      </c>
      <c r="S6" s="12" t="s">
        <v>71</v>
      </c>
      <c r="T6" s="12" t="s">
        <v>52</v>
      </c>
      <c r="U6" s="26" t="s">
        <v>112</v>
      </c>
      <c r="V6" s="12" t="s">
        <v>80</v>
      </c>
      <c r="W6" s="11" t="s">
        <v>67</v>
      </c>
      <c r="X6" s="612" t="s">
        <v>262</v>
      </c>
      <c r="Y6" s="564"/>
      <c r="Z6" s="34" t="s">
        <v>126</v>
      </c>
      <c r="AA6" s="11"/>
      <c r="AB6" s="571"/>
      <c r="AC6" s="572"/>
      <c r="AD6" s="485" t="s">
        <v>98</v>
      </c>
      <c r="AE6" s="564"/>
      <c r="AF6" s="615"/>
      <c r="AG6" s="616"/>
      <c r="AH6" s="616"/>
      <c r="AI6" s="564"/>
      <c r="AJ6" s="613" t="s">
        <v>84</v>
      </c>
      <c r="AK6" s="614"/>
      <c r="AL6" s="485" t="s">
        <v>88</v>
      </c>
      <c r="AM6" s="486"/>
      <c r="AN6" s="119" t="s">
        <v>129</v>
      </c>
      <c r="AO6" s="13" t="s">
        <v>67</v>
      </c>
    </row>
    <row r="7" spans="1:41" ht="37.5" customHeight="1" x14ac:dyDescent="0.25">
      <c r="A7" s="629" t="s">
        <v>10</v>
      </c>
      <c r="B7" s="321" t="s">
        <v>13</v>
      </c>
      <c r="C7" s="339" t="s">
        <v>16</v>
      </c>
      <c r="D7" s="218" t="s">
        <v>16</v>
      </c>
      <c r="E7" s="17" t="s">
        <v>63</v>
      </c>
      <c r="F7" s="250" t="s">
        <v>141</v>
      </c>
      <c r="G7" s="251" t="s">
        <v>16</v>
      </c>
      <c r="H7" s="251" t="s">
        <v>16</v>
      </c>
      <c r="I7" s="251" t="s">
        <v>16</v>
      </c>
      <c r="J7" s="251" t="s">
        <v>16</v>
      </c>
      <c r="K7" s="251" t="s">
        <v>16</v>
      </c>
      <c r="L7" s="251" t="s">
        <v>16</v>
      </c>
      <c r="M7" s="3" t="s">
        <v>17</v>
      </c>
      <c r="N7" s="193" t="s">
        <v>16</v>
      </c>
      <c r="O7" s="503" t="s">
        <v>147</v>
      </c>
      <c r="P7" s="504"/>
      <c r="Q7" s="505"/>
      <c r="R7" s="196" t="s">
        <v>16</v>
      </c>
      <c r="S7" s="3" t="s">
        <v>17</v>
      </c>
      <c r="T7" s="3" t="s">
        <v>17</v>
      </c>
      <c r="U7" s="3" t="s">
        <v>17</v>
      </c>
      <c r="V7" s="251" t="s">
        <v>16</v>
      </c>
      <c r="W7" s="251" t="s">
        <v>16</v>
      </c>
      <c r="X7" s="503" t="s">
        <v>147</v>
      </c>
      <c r="Y7" s="505"/>
      <c r="Z7" s="21" t="s">
        <v>91</v>
      </c>
      <c r="AA7" s="250" t="s">
        <v>146</v>
      </c>
      <c r="AB7" s="573" t="s">
        <v>146</v>
      </c>
      <c r="AC7" s="574"/>
      <c r="AD7" s="562" t="s">
        <v>17</v>
      </c>
      <c r="AE7" s="563"/>
      <c r="AF7" s="506" t="s">
        <v>146</v>
      </c>
      <c r="AG7" s="506"/>
      <c r="AH7" s="507"/>
      <c r="AI7" s="507"/>
      <c r="AJ7" s="506" t="s">
        <v>146</v>
      </c>
      <c r="AK7" s="507"/>
      <c r="AL7" s="562" t="s">
        <v>17</v>
      </c>
      <c r="AM7" s="565"/>
      <c r="AN7" s="120" t="s">
        <v>16</v>
      </c>
    </row>
    <row r="8" spans="1:41" ht="37.5" customHeight="1" x14ac:dyDescent="0.25">
      <c r="A8" s="630"/>
      <c r="B8" s="322" t="s">
        <v>14</v>
      </c>
      <c r="C8" s="340" t="s">
        <v>63</v>
      </c>
      <c r="D8" s="17" t="s">
        <v>63</v>
      </c>
      <c r="E8" s="17" t="s">
        <v>63</v>
      </c>
      <c r="F8" s="17" t="s">
        <v>63</v>
      </c>
      <c r="G8" s="17" t="s">
        <v>63</v>
      </c>
      <c r="H8" s="17" t="s">
        <v>63</v>
      </c>
      <c r="I8" s="17" t="s">
        <v>63</v>
      </c>
      <c r="J8" s="218" t="s">
        <v>16</v>
      </c>
      <c r="K8" s="218" t="s">
        <v>16</v>
      </c>
      <c r="L8" s="218" t="s">
        <v>16</v>
      </c>
      <c r="M8" s="3" t="s">
        <v>17</v>
      </c>
      <c r="N8" s="223" t="s">
        <v>63</v>
      </c>
      <c r="O8" s="506" t="s">
        <v>147</v>
      </c>
      <c r="P8" s="506"/>
      <c r="Q8" s="507"/>
      <c r="R8" s="224" t="s">
        <v>63</v>
      </c>
      <c r="S8" s="3" t="s">
        <v>17</v>
      </c>
      <c r="T8" s="3" t="s">
        <v>17</v>
      </c>
      <c r="U8" s="3" t="s">
        <v>17</v>
      </c>
      <c r="V8" s="251" t="s">
        <v>16</v>
      </c>
      <c r="W8" s="218" t="s">
        <v>16</v>
      </c>
      <c r="X8" s="506" t="s">
        <v>147</v>
      </c>
      <c r="Y8" s="507"/>
      <c r="Z8" s="21" t="s">
        <v>91</v>
      </c>
      <c r="AA8" s="250" t="s">
        <v>146</v>
      </c>
      <c r="AB8" s="519" t="s">
        <v>146</v>
      </c>
      <c r="AC8" s="520"/>
      <c r="AD8" s="547" t="s">
        <v>17</v>
      </c>
      <c r="AE8" s="549"/>
      <c r="AF8" s="506" t="s">
        <v>146</v>
      </c>
      <c r="AG8" s="506"/>
      <c r="AH8" s="507"/>
      <c r="AI8" s="507"/>
      <c r="AJ8" s="506" t="s">
        <v>146</v>
      </c>
      <c r="AK8" s="507"/>
      <c r="AL8" s="547" t="s">
        <v>17</v>
      </c>
      <c r="AM8" s="548"/>
      <c r="AN8" s="120" t="s">
        <v>16</v>
      </c>
    </row>
    <row r="9" spans="1:41" ht="37.5" customHeight="1" x14ac:dyDescent="0.25">
      <c r="A9" s="630"/>
      <c r="B9" s="323" t="s">
        <v>269</v>
      </c>
      <c r="C9" s="340" t="s">
        <v>63</v>
      </c>
      <c r="D9" s="17" t="s">
        <v>63</v>
      </c>
      <c r="E9" s="17" t="s">
        <v>63</v>
      </c>
      <c r="F9" s="17" t="s">
        <v>63</v>
      </c>
      <c r="G9" s="17" t="s">
        <v>63</v>
      </c>
      <c r="H9" s="17" t="s">
        <v>63</v>
      </c>
      <c r="I9" s="17" t="s">
        <v>63</v>
      </c>
      <c r="J9" s="218" t="s">
        <v>16</v>
      </c>
      <c r="K9" s="218" t="s">
        <v>16</v>
      </c>
      <c r="L9" s="218" t="s">
        <v>16</v>
      </c>
      <c r="M9" s="3" t="s">
        <v>17</v>
      </c>
      <c r="N9" s="223" t="s">
        <v>63</v>
      </c>
      <c r="O9" s="506" t="s">
        <v>147</v>
      </c>
      <c r="P9" s="506"/>
      <c r="Q9" s="507"/>
      <c r="R9" s="224" t="s">
        <v>63</v>
      </c>
      <c r="S9" s="3" t="s">
        <v>17</v>
      </c>
      <c r="T9" s="3" t="s">
        <v>17</v>
      </c>
      <c r="U9" s="3" t="s">
        <v>17</v>
      </c>
      <c r="V9" s="251" t="s">
        <v>16</v>
      </c>
      <c r="W9" s="218" t="s">
        <v>16</v>
      </c>
      <c r="X9" s="506" t="s">
        <v>147</v>
      </c>
      <c r="Y9" s="507"/>
      <c r="Z9" s="21" t="s">
        <v>91</v>
      </c>
      <c r="AA9" s="250" t="s">
        <v>146</v>
      </c>
      <c r="AB9" s="519" t="s">
        <v>146</v>
      </c>
      <c r="AC9" s="520"/>
      <c r="AD9" s="547" t="s">
        <v>17</v>
      </c>
      <c r="AE9" s="549"/>
      <c r="AF9" s="506" t="s">
        <v>146</v>
      </c>
      <c r="AG9" s="506"/>
      <c r="AH9" s="507"/>
      <c r="AI9" s="507"/>
      <c r="AJ9" s="506" t="s">
        <v>146</v>
      </c>
      <c r="AK9" s="507"/>
      <c r="AL9" s="547" t="s">
        <v>17</v>
      </c>
      <c r="AM9" s="548"/>
      <c r="AN9" s="120" t="s">
        <v>16</v>
      </c>
    </row>
    <row r="10" spans="1:41" ht="48.75" x14ac:dyDescent="0.25">
      <c r="A10" s="631"/>
      <c r="B10" s="322" t="s">
        <v>15</v>
      </c>
      <c r="C10" s="341" t="s">
        <v>143</v>
      </c>
      <c r="D10" s="21" t="s">
        <v>143</v>
      </c>
      <c r="E10" s="17" t="s">
        <v>63</v>
      </c>
      <c r="F10" s="21" t="s">
        <v>143</v>
      </c>
      <c r="G10" s="21" t="s">
        <v>143</v>
      </c>
      <c r="H10" s="21" t="s">
        <v>143</v>
      </c>
      <c r="I10" s="21" t="s">
        <v>143</v>
      </c>
      <c r="J10" s="21" t="s">
        <v>143</v>
      </c>
      <c r="K10" s="21" t="s">
        <v>143</v>
      </c>
      <c r="L10" s="21" t="s">
        <v>143</v>
      </c>
      <c r="M10" s="3" t="s">
        <v>17</v>
      </c>
      <c r="N10" s="194" t="s">
        <v>143</v>
      </c>
      <c r="O10" s="506" t="s">
        <v>147</v>
      </c>
      <c r="P10" s="506"/>
      <c r="Q10" s="507"/>
      <c r="R10" s="128" t="s">
        <v>143</v>
      </c>
      <c r="S10" s="3" t="s">
        <v>17</v>
      </c>
      <c r="T10" s="217" t="s">
        <v>50</v>
      </c>
      <c r="U10" s="217" t="s">
        <v>111</v>
      </c>
      <c r="V10" s="17" t="s">
        <v>63</v>
      </c>
      <c r="W10" s="218" t="s">
        <v>16</v>
      </c>
      <c r="X10" s="506" t="s">
        <v>147</v>
      </c>
      <c r="Y10" s="507"/>
      <c r="Z10" s="21" t="s">
        <v>91</v>
      </c>
      <c r="AA10" s="250" t="s">
        <v>146</v>
      </c>
      <c r="AB10" s="519" t="s">
        <v>146</v>
      </c>
      <c r="AC10" s="520"/>
      <c r="AD10" s="547" t="s">
        <v>17</v>
      </c>
      <c r="AE10" s="549"/>
      <c r="AF10" s="506" t="s">
        <v>146</v>
      </c>
      <c r="AG10" s="506"/>
      <c r="AH10" s="507"/>
      <c r="AI10" s="507"/>
      <c r="AJ10" s="506" t="s">
        <v>146</v>
      </c>
      <c r="AK10" s="507"/>
      <c r="AL10" s="547" t="s">
        <v>17</v>
      </c>
      <c r="AM10" s="548"/>
      <c r="AN10" s="120" t="s">
        <v>16</v>
      </c>
    </row>
    <row r="11" spans="1:41" ht="36.75" customHeight="1" x14ac:dyDescent="0.25">
      <c r="A11" s="121"/>
      <c r="B11" s="319" t="s">
        <v>70</v>
      </c>
      <c r="C11" s="342"/>
      <c r="D11" s="230"/>
      <c r="E11" s="235" t="s">
        <v>103</v>
      </c>
      <c r="F11" s="606"/>
      <c r="G11" s="607"/>
      <c r="H11" s="607"/>
      <c r="I11" s="607"/>
      <c r="J11" s="607"/>
      <c r="K11" s="607"/>
      <c r="L11" s="608"/>
      <c r="M11" s="217" t="s">
        <v>59</v>
      </c>
      <c r="N11" s="519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0"/>
      <c r="Z11" s="237" t="s">
        <v>90</v>
      </c>
      <c r="AA11" s="519"/>
      <c r="AB11" s="522"/>
      <c r="AC11" s="520"/>
      <c r="AD11" s="539" t="s">
        <v>101</v>
      </c>
      <c r="AE11" s="540"/>
      <c r="AF11" s="522"/>
      <c r="AG11" s="522"/>
      <c r="AH11" s="522"/>
      <c r="AI11" s="522"/>
      <c r="AJ11" s="522"/>
      <c r="AK11" s="522"/>
      <c r="AL11" s="557" t="s">
        <v>89</v>
      </c>
      <c r="AM11" s="558"/>
      <c r="AN11" s="122"/>
    </row>
    <row r="12" spans="1:41" x14ac:dyDescent="0.25">
      <c r="A12" s="116" t="s">
        <v>175</v>
      </c>
      <c r="B12" s="319"/>
      <c r="C12" s="343">
        <v>50000</v>
      </c>
      <c r="D12" s="54">
        <v>50000</v>
      </c>
      <c r="E12" s="54">
        <v>20000</v>
      </c>
      <c r="F12" s="54">
        <v>20000</v>
      </c>
      <c r="G12" s="54">
        <v>20000</v>
      </c>
      <c r="H12" s="54">
        <v>5000</v>
      </c>
      <c r="I12" s="54">
        <v>200000</v>
      </c>
      <c r="J12" s="54">
        <v>200000</v>
      </c>
      <c r="K12" s="54">
        <v>50000</v>
      </c>
      <c r="L12" s="54">
        <v>50000</v>
      </c>
      <c r="M12" s="54"/>
      <c r="N12" s="231">
        <v>5000</v>
      </c>
      <c r="O12" s="501">
        <v>200000</v>
      </c>
      <c r="P12" s="508"/>
      <c r="Q12" s="502"/>
      <c r="R12" s="232">
        <v>5000</v>
      </c>
      <c r="S12" s="54"/>
      <c r="T12" s="54">
        <v>5000</v>
      </c>
      <c r="U12" s="54">
        <v>5000</v>
      </c>
      <c r="V12" s="54">
        <v>50000</v>
      </c>
      <c r="W12" s="54">
        <v>50000</v>
      </c>
      <c r="X12" s="501">
        <v>200000</v>
      </c>
      <c r="Y12" s="502"/>
      <c r="Z12" s="54">
        <v>200000</v>
      </c>
      <c r="AA12" s="54">
        <v>200000</v>
      </c>
      <c r="AB12" s="501">
        <v>200000</v>
      </c>
      <c r="AC12" s="502"/>
      <c r="AD12" s="609"/>
      <c r="AE12" s="610"/>
      <c r="AF12" s="501">
        <v>200000</v>
      </c>
      <c r="AG12" s="508"/>
      <c r="AH12" s="508"/>
      <c r="AI12" s="502"/>
      <c r="AJ12" s="501">
        <v>200000</v>
      </c>
      <c r="AK12" s="508"/>
      <c r="AL12" s="508"/>
      <c r="AM12" s="508"/>
      <c r="AN12" s="556"/>
    </row>
    <row r="13" spans="1:41" s="15" customFormat="1" x14ac:dyDescent="0.25">
      <c r="A13" s="121" t="s">
        <v>11</v>
      </c>
      <c r="B13" s="324"/>
      <c r="C13" s="31">
        <f t="shared" ref="C13:N13" si="0">SQRT((C12/$D$53)/(PI()/4))</f>
        <v>40.656407246787708</v>
      </c>
      <c r="D13" s="31">
        <f t="shared" si="0"/>
        <v>40.656407246787708</v>
      </c>
      <c r="E13" s="31">
        <f t="shared" si="0"/>
        <v>25.713369675844916</v>
      </c>
      <c r="F13" s="31">
        <f t="shared" si="0"/>
        <v>25.713369675844916</v>
      </c>
      <c r="G13" s="31">
        <f t="shared" si="0"/>
        <v>25.713369675844916</v>
      </c>
      <c r="H13" s="31">
        <f t="shared" si="0"/>
        <v>12.856684837922458</v>
      </c>
      <c r="I13" s="31">
        <f t="shared" si="0"/>
        <v>81.312814493575416</v>
      </c>
      <c r="J13" s="31">
        <f t="shared" si="0"/>
        <v>81.312814493575416</v>
      </c>
      <c r="K13" s="31">
        <f t="shared" si="0"/>
        <v>40.656407246787708</v>
      </c>
      <c r="L13" s="31">
        <f t="shared" si="0"/>
        <v>40.656407246787708</v>
      </c>
      <c r="M13" s="31">
        <f t="shared" si="0"/>
        <v>0</v>
      </c>
      <c r="N13" s="31">
        <f t="shared" si="0"/>
        <v>12.856684837922458</v>
      </c>
      <c r="O13" s="499">
        <v>40.656407246787708</v>
      </c>
      <c r="P13" s="509"/>
      <c r="Q13" s="500"/>
      <c r="R13" s="31">
        <f>SQRT((R12/$D$53)/(PI()/4))</f>
        <v>12.856684837922458</v>
      </c>
      <c r="S13" s="31">
        <f>SQRT((S12/D$53)/(PI()/4))</f>
        <v>0</v>
      </c>
      <c r="T13" s="31">
        <f>SQRT((T12/$D$53)/(PI()/4))</f>
        <v>12.856684837922458</v>
      </c>
      <c r="U13" s="31">
        <f>SQRT((U12/$D$53)/(PI()/4))</f>
        <v>12.856684837922458</v>
      </c>
      <c r="V13" s="31">
        <f>SQRT((V12/D$53)/(PI()/4))</f>
        <v>40.656407246787708</v>
      </c>
      <c r="W13" s="31">
        <f>SQRT((W12/$D$53)/(PI()/4))</f>
        <v>40.656407246787708</v>
      </c>
      <c r="X13" s="499">
        <v>40.656407246787708</v>
      </c>
      <c r="Y13" s="500"/>
      <c r="Z13" s="31">
        <f>SQRT((Z12/$D$53)/(PI()/4))</f>
        <v>81.312814493575416</v>
      </c>
      <c r="AA13" s="31">
        <f>SQRT((AA12/$D$53)/(PI()/4))</f>
        <v>81.312814493575416</v>
      </c>
      <c r="AB13" s="499">
        <f>SQRT((AB12/D$53)/(PI()/4))</f>
        <v>81.312814493575416</v>
      </c>
      <c r="AC13" s="500"/>
      <c r="AD13" s="497"/>
      <c r="AE13" s="498"/>
      <c r="AF13" s="499">
        <v>40.656407246787708</v>
      </c>
      <c r="AG13" s="509"/>
      <c r="AH13" s="509"/>
      <c r="AI13" s="500"/>
      <c r="AJ13" s="499">
        <v>40.656407246787708</v>
      </c>
      <c r="AK13" s="509"/>
      <c r="AL13" s="509"/>
      <c r="AM13" s="509"/>
      <c r="AN13" s="611"/>
    </row>
    <row r="14" spans="1:41" s="15" customFormat="1" x14ac:dyDescent="0.25">
      <c r="A14" s="123" t="s">
        <v>18</v>
      </c>
      <c r="B14" s="325"/>
      <c r="C14" s="344" t="s">
        <v>259</v>
      </c>
      <c r="D14" s="14" t="s">
        <v>76</v>
      </c>
      <c r="E14" s="14" t="s">
        <v>60</v>
      </c>
      <c r="F14" s="14" t="s">
        <v>154</v>
      </c>
      <c r="G14" s="14" t="s">
        <v>259</v>
      </c>
      <c r="H14" s="14" t="s">
        <v>60</v>
      </c>
      <c r="I14" s="14">
        <v>8</v>
      </c>
      <c r="J14" s="14" t="s">
        <v>76</v>
      </c>
      <c r="K14" s="14" t="s">
        <v>76</v>
      </c>
      <c r="L14" s="14" t="s">
        <v>54</v>
      </c>
      <c r="M14" s="14" t="s">
        <v>60</v>
      </c>
      <c r="N14" s="227" t="s">
        <v>94</v>
      </c>
      <c r="O14" s="497" t="s">
        <v>100</v>
      </c>
      <c r="P14" s="510"/>
      <c r="Q14" s="498"/>
      <c r="R14" s="228" t="s">
        <v>108</v>
      </c>
      <c r="S14" s="14" t="s">
        <v>62</v>
      </c>
      <c r="T14" s="14" t="s">
        <v>64</v>
      </c>
      <c r="U14" s="228" t="s">
        <v>86</v>
      </c>
      <c r="V14" s="14" t="s">
        <v>76</v>
      </c>
      <c r="W14" s="14">
        <v>9</v>
      </c>
      <c r="X14" s="497">
        <v>9</v>
      </c>
      <c r="Y14" s="498"/>
      <c r="Z14" s="14" t="s">
        <v>76</v>
      </c>
      <c r="AA14" s="14" t="s">
        <v>62</v>
      </c>
      <c r="AB14" s="497" t="s">
        <v>62</v>
      </c>
      <c r="AC14" s="498"/>
      <c r="AD14" s="497" t="s">
        <v>100</v>
      </c>
      <c r="AE14" s="498"/>
      <c r="AF14" s="497" t="s">
        <v>61</v>
      </c>
      <c r="AG14" s="510"/>
      <c r="AH14" s="510"/>
      <c r="AI14" s="498"/>
      <c r="AJ14" s="497" t="s">
        <v>86</v>
      </c>
      <c r="AK14" s="510"/>
      <c r="AL14" s="497" t="s">
        <v>61</v>
      </c>
      <c r="AM14" s="510"/>
      <c r="AN14" s="124" t="s">
        <v>60</v>
      </c>
    </row>
    <row r="15" spans="1:41" s="15" customFormat="1" ht="28.5" x14ac:dyDescent="0.25">
      <c r="A15" s="601" t="s">
        <v>132</v>
      </c>
      <c r="B15" s="326" t="s">
        <v>136</v>
      </c>
      <c r="C15" s="345" t="s">
        <v>134</v>
      </c>
      <c r="D15" s="246" t="s">
        <v>134</v>
      </c>
      <c r="E15" s="185" t="s">
        <v>133</v>
      </c>
      <c r="F15" s="185" t="s">
        <v>133</v>
      </c>
      <c r="G15" s="185" t="s">
        <v>133</v>
      </c>
      <c r="H15" s="186" t="s">
        <v>133</v>
      </c>
      <c r="I15" s="185" t="s">
        <v>133</v>
      </c>
      <c r="J15" s="185" t="s">
        <v>133</v>
      </c>
      <c r="K15" s="186" t="s">
        <v>133</v>
      </c>
      <c r="L15" s="186" t="s">
        <v>133</v>
      </c>
      <c r="M15" s="185" t="s">
        <v>133</v>
      </c>
      <c r="N15" s="195" t="s">
        <v>133</v>
      </c>
      <c r="O15" s="512" t="s">
        <v>134</v>
      </c>
      <c r="P15" s="513"/>
      <c r="Q15" s="514"/>
      <c r="R15" s="186" t="s">
        <v>133</v>
      </c>
      <c r="S15" s="185" t="s">
        <v>133</v>
      </c>
      <c r="T15" s="185" t="s">
        <v>133</v>
      </c>
      <c r="U15" s="186" t="s">
        <v>133</v>
      </c>
      <c r="V15" s="185" t="s">
        <v>133</v>
      </c>
      <c r="W15" s="185" t="s">
        <v>133</v>
      </c>
      <c r="X15" s="495" t="s">
        <v>135</v>
      </c>
      <c r="Y15" s="496"/>
      <c r="Z15" s="187" t="s">
        <v>135</v>
      </c>
      <c r="AA15" s="187" t="s">
        <v>135</v>
      </c>
      <c r="AB15" s="495" t="s">
        <v>135</v>
      </c>
      <c r="AC15" s="496"/>
      <c r="AD15" s="495" t="s">
        <v>135</v>
      </c>
      <c r="AE15" s="496"/>
      <c r="AF15" s="495" t="s">
        <v>135</v>
      </c>
      <c r="AG15" s="624"/>
      <c r="AH15" s="624"/>
      <c r="AI15" s="496"/>
      <c r="AJ15" s="495" t="s">
        <v>135</v>
      </c>
      <c r="AK15" s="624"/>
      <c r="AL15" s="624"/>
      <c r="AM15" s="624"/>
      <c r="AN15" s="625"/>
    </row>
    <row r="16" spans="1:41" s="269" customFormat="1" x14ac:dyDescent="0.25">
      <c r="A16" s="602"/>
      <c r="B16" s="327" t="s">
        <v>307</v>
      </c>
      <c r="C16" s="346">
        <f t="shared" ref="C16:N16" ca="1" si="1">C19-C17</f>
        <v>-14.407790963598263</v>
      </c>
      <c r="D16" s="315" t="e">
        <f t="shared" ca="1" si="1"/>
        <v>#DIV/0!</v>
      </c>
      <c r="E16" s="316">
        <f ca="1">E20-E17</f>
        <v>0</v>
      </c>
      <c r="F16" s="315" t="e">
        <f t="shared" ca="1" si="1"/>
        <v>#DIV/0!</v>
      </c>
      <c r="G16" s="316" t="e">
        <f t="shared" ca="1" si="1"/>
        <v>#DIV/0!</v>
      </c>
      <c r="H16" s="315">
        <f t="shared" si="1"/>
        <v>-17.242413754648997</v>
      </c>
      <c r="I16" s="315">
        <f t="shared" si="1"/>
        <v>-22.659689574949091</v>
      </c>
      <c r="J16" s="315">
        <f t="shared" si="1"/>
        <v>-22.659689574949091</v>
      </c>
      <c r="K16" s="315" t="e">
        <f t="shared" ca="1" si="1"/>
        <v>#DIV/0!</v>
      </c>
      <c r="L16" s="315" t="e">
        <f t="shared" ca="1" si="1"/>
        <v>#DIV/0!</v>
      </c>
      <c r="M16" s="315" t="e">
        <f t="shared" ca="1" si="1"/>
        <v>#DIV/0!</v>
      </c>
      <c r="N16" s="315">
        <f t="shared" si="1"/>
        <v>-17.242413754648997</v>
      </c>
      <c r="O16" s="488" t="e">
        <f ca="1">SUM(O19,P19,Q19)-O17</f>
        <v>#DIV/0!</v>
      </c>
      <c r="P16" s="492"/>
      <c r="Q16" s="489"/>
      <c r="R16" s="314">
        <f>R19-R17</f>
        <v>45.666586245351006</v>
      </c>
      <c r="S16" s="316"/>
      <c r="T16" s="316">
        <f>T19-T17</f>
        <v>107.67823841926405</v>
      </c>
      <c r="U16" s="314">
        <f>U19-U17</f>
        <v>-4.2624137546489944</v>
      </c>
      <c r="V16" s="316"/>
      <c r="W16" s="316" t="e">
        <f ca="1">W19-W17</f>
        <v>#DIV/0!</v>
      </c>
      <c r="X16" s="488">
        <f>SUM(X19:Y19)-X17</f>
        <v>201.31852921252548</v>
      </c>
      <c r="Y16" s="489"/>
      <c r="Z16" s="315" t="e">
        <f ca="1">Z19-Z17</f>
        <v>#DIV/0!</v>
      </c>
      <c r="AA16" s="315" t="e">
        <f ca="1">AA19-AA17</f>
        <v>#DIV/0!</v>
      </c>
      <c r="AB16" s="488" t="e">
        <f ca="1">AB19+AC19-AB17</f>
        <v>#DIV/0!</v>
      </c>
      <c r="AC16" s="489"/>
      <c r="AD16" s="317"/>
      <c r="AE16" s="314"/>
      <c r="AF16" s="488" t="e">
        <f ca="1">SUM(AF19:AI19)-AF17</f>
        <v>#DIV/0!</v>
      </c>
      <c r="AG16" s="492"/>
      <c r="AH16" s="492"/>
      <c r="AI16" s="489"/>
      <c r="AJ16" s="488" t="e">
        <f ca="1">SUM(AJ19:AN19)-AJ17</f>
        <v>#DIV/0!</v>
      </c>
      <c r="AK16" s="492"/>
      <c r="AL16" s="492"/>
      <c r="AM16" s="492"/>
      <c r="AN16" s="626"/>
    </row>
    <row r="17" spans="1:40" outlineLevel="1" x14ac:dyDescent="0.25">
      <c r="A17" s="602"/>
      <c r="B17" s="328" t="s">
        <v>118</v>
      </c>
      <c r="C17" s="347">
        <f>(D$67*C13)/D68*D$66+(D78*B156)</f>
        <v>35.667344787474548</v>
      </c>
      <c r="D17" s="274">
        <f>(D$67*D13)/D68*D$66+(D78*B158)</f>
        <v>68.117344787474551</v>
      </c>
      <c r="E17" s="275">
        <f>(D$67*E13)/D68*D$66+(D78*B158)</f>
        <v>66.934827509297989</v>
      </c>
      <c r="F17" s="275">
        <f>(D$67*F13)/D68*D$66+(D78*B158)</f>
        <v>66.934827509297989</v>
      </c>
      <c r="G17" s="275">
        <f>(D$67*G13)/D68*D$66+(D78*B157)</f>
        <v>18.259827509297988</v>
      </c>
      <c r="H17" s="274">
        <f>(D$67*H13)/D68*D$66+(D78*B157)</f>
        <v>17.242413754648997</v>
      </c>
      <c r="I17" s="286">
        <f>(D$67*I13)/D68*D$66+(D78*B157)</f>
        <v>22.659689574949091</v>
      </c>
      <c r="J17" s="275">
        <f>(D$67*J13)/D68*D$66+(D78*B157)</f>
        <v>22.659689574949091</v>
      </c>
      <c r="K17" s="274">
        <f>(D$67*K13)/D68*D$66+(D78*B157)</f>
        <v>19.442344787474546</v>
      </c>
      <c r="L17" s="274">
        <f>(D$67*L13)/D68*D$66+(D78*B157)</f>
        <v>19.442344787474546</v>
      </c>
      <c r="M17" s="275">
        <f>(D$67*M13)/D68*D$66+(D78*B157)</f>
        <v>16.225000000000001</v>
      </c>
      <c r="N17" s="285">
        <f>(D$67*N13)/D68*D$66+(D78*B157)</f>
        <v>17.242413754648997</v>
      </c>
      <c r="O17" s="493">
        <f>(D$67*O13)/D68*D$66+(D78*B156)*0.2+(D70*C170+D71*C169)*0.8</f>
        <v>63.971344787474557</v>
      </c>
      <c r="P17" s="511"/>
      <c r="Q17" s="494"/>
      <c r="R17" s="274">
        <f>(D$67*R13)/D68*D$66+(D78*B156)</f>
        <v>33.467413754648994</v>
      </c>
      <c r="S17" s="270" t="e">
        <f>(D$67*S13+#REF!*S13)*D$66+(D78*B156)</f>
        <v>#REF!</v>
      </c>
      <c r="T17" s="275">
        <f>(D$67*T13)/D68*D$66</f>
        <v>1.0174137546489936</v>
      </c>
      <c r="U17" s="274">
        <f>(D$67*U13)/D68*D$66+(D78*B156*0.1)</f>
        <v>4.2624137546489944</v>
      </c>
      <c r="V17" s="270" t="e">
        <f>(D$67*V13+#REF!*V13)*D$66</f>
        <v>#REF!</v>
      </c>
      <c r="W17" s="275">
        <f>(D$67*W13)*D$66/D68+D76</f>
        <v>55.717344787474545</v>
      </c>
      <c r="X17" s="493">
        <f>(D$67*X13)*D$66/D68+D70*C170+D71*C169</f>
        <v>71.047344787474543</v>
      </c>
      <c r="Y17" s="494"/>
      <c r="Z17" s="275" t="e">
        <f ca="1">(D$67*Z13)*D$66/D68+D75*C173</f>
        <v>#DIV/0!</v>
      </c>
      <c r="AA17" s="275" t="e">
        <f ca="1">(D$67*AA13)*D$66/D68+D71*C175</f>
        <v>#DIV/0!</v>
      </c>
      <c r="AB17" s="493" t="e">
        <f ca="1">(D$67*AB13)*D$66/D68+D70*C178+D71*C177</f>
        <v>#DIV/0!</v>
      </c>
      <c r="AC17" s="494"/>
      <c r="AD17" s="618" t="e">
        <f>(D$67*AD13+#REF!*AD13)*D$66</f>
        <v>#REF!</v>
      </c>
      <c r="AE17" s="619"/>
      <c r="AF17" s="493" t="e">
        <f ca="1">(D$67*AF13)*D$66/D68+D70*C182+D71*C181+D72*C184+D73*C180</f>
        <v>#DIV/0!</v>
      </c>
      <c r="AG17" s="511"/>
      <c r="AH17" s="511"/>
      <c r="AI17" s="494"/>
      <c r="AJ17" s="493" t="e">
        <f ca="1">(D$67*AJ13)*D$66/D68+D70*C187+D71*C186+D72*(C189)</f>
        <v>#DIV/0!</v>
      </c>
      <c r="AK17" s="511"/>
      <c r="AL17" s="511"/>
      <c r="AM17" s="511"/>
      <c r="AN17" s="555"/>
    </row>
    <row r="18" spans="1:40" outlineLevel="1" x14ac:dyDescent="0.25">
      <c r="A18" s="602"/>
      <c r="B18" s="297" t="s">
        <v>298</v>
      </c>
      <c r="C18" s="348" t="s">
        <v>299</v>
      </c>
      <c r="D18" s="287" t="s">
        <v>299</v>
      </c>
      <c r="E18" s="287" t="s">
        <v>301</v>
      </c>
      <c r="F18" s="287" t="s">
        <v>301</v>
      </c>
      <c r="G18" s="287" t="s">
        <v>321</v>
      </c>
      <c r="H18" s="318"/>
      <c r="I18" s="287" t="s">
        <v>318</v>
      </c>
      <c r="J18" s="287" t="s">
        <v>318</v>
      </c>
      <c r="K18" s="287" t="s">
        <v>319</v>
      </c>
      <c r="L18" s="287" t="s">
        <v>319</v>
      </c>
      <c r="M18" s="287" t="s">
        <v>319</v>
      </c>
      <c r="N18" s="318"/>
      <c r="O18" s="287" t="s">
        <v>299</v>
      </c>
      <c r="P18" s="287" t="s">
        <v>308</v>
      </c>
      <c r="Q18" s="287" t="s">
        <v>309</v>
      </c>
      <c r="R18" s="287" t="s">
        <v>322</v>
      </c>
      <c r="S18" s="260"/>
      <c r="T18" s="287" t="s">
        <v>323</v>
      </c>
      <c r="U18" s="287" t="s">
        <v>324</v>
      </c>
      <c r="V18" s="260"/>
      <c r="W18" s="287" t="s">
        <v>328</v>
      </c>
      <c r="X18" s="291" t="s">
        <v>308</v>
      </c>
      <c r="Y18" s="261" t="s">
        <v>309</v>
      </c>
      <c r="Z18" s="287" t="s">
        <v>302</v>
      </c>
      <c r="AA18" s="287" t="s">
        <v>309</v>
      </c>
      <c r="AB18" s="291" t="s">
        <v>308</v>
      </c>
      <c r="AC18" s="287" t="s">
        <v>309</v>
      </c>
      <c r="AD18" s="260"/>
      <c r="AE18" s="260"/>
      <c r="AF18" s="289" t="s">
        <v>312</v>
      </c>
      <c r="AG18" s="289" t="s">
        <v>313</v>
      </c>
      <c r="AH18" s="289" t="s">
        <v>308</v>
      </c>
      <c r="AI18" s="289" t="s">
        <v>309</v>
      </c>
      <c r="AJ18" s="527" t="s">
        <v>300</v>
      </c>
      <c r="AK18" s="528"/>
      <c r="AL18" s="527" t="s">
        <v>308</v>
      </c>
      <c r="AM18" s="528"/>
      <c r="AN18" s="349" t="s">
        <v>309</v>
      </c>
    </row>
    <row r="19" spans="1:40" outlineLevel="1" x14ac:dyDescent="0.25">
      <c r="A19" s="603"/>
      <c r="B19" s="298" t="s">
        <v>118</v>
      </c>
      <c r="C19" s="350">
        <f ca="1">$D$91*'Data - samenstelling'!$K$22*'Data - samenstelling'!$H$22*'Data - samenstelling'!$T$22/0.5</f>
        <v>18.437884036401737</v>
      </c>
      <c r="D19" s="312">
        <f ca="1">D91*'Data - samenstelling'!K22*'Data - samenstelling'!H22*'Data - samenstelling'!T22/0.5</f>
        <v>18.437884036401737</v>
      </c>
      <c r="E19" s="288">
        <f ca="1">D86*'Data - samenstelling'!K22*'Data - samenstelling'!H22*'Data - samenstelling'!Z22</f>
        <v>227.93264868100815</v>
      </c>
      <c r="F19" s="288">
        <f ca="1">D86*'Data - samenstelling'!K22*'Data - samenstelling'!H22*'Data - samenstelling'!Z22</f>
        <v>227.93264868100815</v>
      </c>
      <c r="G19" s="288">
        <f ca="1">(D87*'Data - samenstelling'!K22*'Data - samenstelling'!H22*'Data - samenstelling'!S22)</f>
        <v>58.114576643050874</v>
      </c>
      <c r="H19" s="310"/>
      <c r="I19" s="310"/>
      <c r="J19" s="310"/>
      <c r="K19" s="313">
        <f ca="1">D90*'Data - samenstelling'!K22*'Data - samenstelling'!H22*'Data - samenstelling'!S22</f>
        <v>161.02580611512013</v>
      </c>
      <c r="L19" s="313">
        <f ca="1">D90*'Data - samenstelling'!K22*'Data - samenstelling'!H22*'Data - samenstelling'!S22</f>
        <v>161.02580611512013</v>
      </c>
      <c r="M19" s="313">
        <f ca="1">D90*'Data - samenstelling'!K22*'Data - samenstelling'!H22*'Data - samenstelling'!S22</f>
        <v>161.02580611512013</v>
      </c>
      <c r="N19" s="310"/>
      <c r="O19" s="388">
        <f ca="1">$D$91*'Data - samenstelling'!$K$22*'Data - samenstelling'!$H$22*'Data - samenstelling'!$T$22/0.5</f>
        <v>18.437884036401737</v>
      </c>
      <c r="P19" s="288">
        <f>C170*0.8*D79</f>
        <v>167.70160000000001</v>
      </c>
      <c r="Q19" s="288">
        <f>C169*0.8*D77</f>
        <v>50.191099200000004</v>
      </c>
      <c r="R19" s="312">
        <f>D92</f>
        <v>79.134</v>
      </c>
      <c r="S19" s="272"/>
      <c r="T19" s="313">
        <f>D88</f>
        <v>108.69565217391305</v>
      </c>
      <c r="U19" s="310">
        <v>0</v>
      </c>
      <c r="V19" s="272"/>
      <c r="W19" s="312">
        <f ca="1">D89*'Data - samenstelling'!K22*'Data - samenstelling'!H22*'Data - samenstelling'!U22</f>
        <v>1.9932591074217143</v>
      </c>
      <c r="X19" s="276">
        <f>D79*C170</f>
        <v>209.62700000000001</v>
      </c>
      <c r="Y19" s="292">
        <f>D77*C169</f>
        <v>62.738874000000003</v>
      </c>
      <c r="Z19" s="288">
        <f ca="1">D85*C173</f>
        <v>472.95666782608686</v>
      </c>
      <c r="AA19" s="288">
        <f ca="1">D77*C175</f>
        <v>501.25383417521738</v>
      </c>
      <c r="AB19" s="276">
        <f ca="1">D79*C178</f>
        <v>725.7554476014493</v>
      </c>
      <c r="AC19" s="288">
        <f ca="1">D77*C177</f>
        <v>217.20999480926088</v>
      </c>
      <c r="AD19" s="260"/>
      <c r="AE19" s="260"/>
      <c r="AF19" s="288">
        <f ca="1">D81*C183</f>
        <v>120.72125105652175</v>
      </c>
      <c r="AG19" s="288">
        <f ca="1">D83*C180</f>
        <v>678.08930591576086</v>
      </c>
      <c r="AH19" s="288">
        <f ca="1">D79*C183</f>
        <v>279.13671061594204</v>
      </c>
      <c r="AI19" s="290">
        <f ca="1">D77*C181</f>
        <v>83.542305695869572</v>
      </c>
      <c r="AJ19" s="530">
        <f ca="1">D81*C188</f>
        <v>845.04875739565216</v>
      </c>
      <c r="AK19" s="531"/>
      <c r="AL19" s="530">
        <f ca="1">D79*C187</f>
        <v>223.30936849275366</v>
      </c>
      <c r="AM19" s="531"/>
      <c r="AN19" s="351">
        <f ca="1">D77*C186</f>
        <v>66.833844556695652</v>
      </c>
    </row>
    <row r="20" spans="1:40" x14ac:dyDescent="0.25">
      <c r="A20" s="126" t="s">
        <v>208</v>
      </c>
      <c r="B20" s="329"/>
      <c r="C20" s="352">
        <f ca="1">(C137*'Data - samenstelling'!K22*'Data - samenstelling'!H22*'Data - samenstelling'!T22)+(C139*'Data - samenstelling'!K22*'Data - samenstelling'!H22*'Data - samenstelling'!S22)</f>
        <v>89.62547200871208</v>
      </c>
      <c r="D20" s="293">
        <f ca="1">C142*'Data - samenstelling'!K22*'Data - samenstelling'!H22*'Data - samenstelling'!Z22</f>
        <v>229.2135479193812</v>
      </c>
      <c r="E20" s="293">
        <f ca="1">C142*'Data - samenstelling'!K22*'Data - samenstelling'!H22*'Data - samenstelling'!Z22</f>
        <v>229.2135479193812</v>
      </c>
      <c r="F20" s="293">
        <f ca="1">C142*'Data - samenstelling'!K22*'Data - samenstelling'!H22*'Data - samenstelling'!Z22</f>
        <v>229.2135479193812</v>
      </c>
      <c r="G20" s="293">
        <f ca="1">(C138*'Data - samenstelling'!K22*'Data - samenstelling'!H22*'Data - samenstelling'!S22)+(C140*'Data - samenstelling'!K22*'Data - samenstelling'!H22*'Data - samenstelling'!R22)</f>
        <v>109.49784345592722</v>
      </c>
      <c r="H20" s="293">
        <f ca="1">(C138*'Data - samenstelling'!K22*'Data - samenstelling'!H22*'Data - samenstelling'!S22)+(C140*'Data - samenstelling'!K22*'Data - samenstelling'!H22*'Data - samenstelling'!R22)</f>
        <v>109.49784345592722</v>
      </c>
      <c r="I20" s="296">
        <f ca="1">(C138*'Data - samenstelling'!K22*'Data - samenstelling'!H22*'Data - samenstelling'!S22)+(C140*'Data - samenstelling'!K22*'Data - samenstelling'!H22*'Data - samenstelling'!R22)</f>
        <v>109.49784345592722</v>
      </c>
      <c r="J20" s="293">
        <f ca="1">(C138*'Data - samenstelling'!K22*'Data - samenstelling'!H22*'Data - samenstelling'!S22)+(C140*'Data - samenstelling'!K22*'Data - samenstelling'!H22*'Data - samenstelling'!R22)</f>
        <v>109.49784345592722</v>
      </c>
      <c r="K20" s="293">
        <f ca="1">(C138*'Data - samenstelling'!K22*'Data - samenstelling'!H22*'Data - samenstelling'!S22)+(C140*'Data - samenstelling'!K22*'Data - samenstelling'!H22*'Data - samenstelling'!R22)</f>
        <v>109.49784345592722</v>
      </c>
      <c r="L20" s="293">
        <f ca="1">(C138*'Data - samenstelling'!K22*'Data - samenstelling'!H22*'Data - samenstelling'!S22)+(C140*'Data - samenstelling'!K22*'Data - samenstelling'!H22*'Data - samenstelling'!R22)</f>
        <v>109.49784345592722</v>
      </c>
      <c r="M20" s="293">
        <f ca="1">(C138*'Data - samenstelling'!K22*'Data - samenstelling'!H22*'Data - samenstelling'!S22)+(C140*'Data - samenstelling'!K22*'Data - samenstelling'!H22*'Data - samenstelling'!R22)</f>
        <v>109.49784345592722</v>
      </c>
      <c r="N20" s="294">
        <f ca="1">(C138*'Data - samenstelling'!K22*'Data - samenstelling'!H22*'Data - samenstelling'!S22)+(C140*'Data - samenstelling'!K22*'Data - samenstelling'!H22*'Data - samenstelling'!R22)</f>
        <v>109.49784345592722</v>
      </c>
      <c r="O20" s="479">
        <f ca="1">((C169*C145)+(C170*C146))*0.5+((C137*(1-'Data - samenstelling'!C22)*'Data - samenstelling'!H22*'Data - samenstelling'!T22))*0.5</f>
        <v>41.837033403879346</v>
      </c>
      <c r="P20" s="480"/>
      <c r="Q20" s="481"/>
      <c r="R20" s="295">
        <f ca="1">C143*(1-'Data - samenstelling'!C22)*'Data - samenstelling'!H22*'Data - samenstelling'!V22+(C139*'Data - samenstelling'!K22*'Data - samenstelling'!H22*'Data - samenstelling'!S22)</f>
        <v>18.233574977891017</v>
      </c>
      <c r="S20" s="106"/>
      <c r="T20" s="311"/>
      <c r="U20" s="311"/>
      <c r="V20" s="106">
        <f ca="1">C141*(1-'Data - samenstelling'!C22)*'Data - samenstelling'!H22*'Data - samenstelling'!U22</f>
        <v>0.23919109289060569</v>
      </c>
      <c r="W20" s="293">
        <f ca="1">C141*(1-'Data - samenstelling'!C22)*'Data - samenstelling'!H22*'Data - samenstelling'!U22</f>
        <v>0.23919109289060569</v>
      </c>
      <c r="X20" s="479">
        <f>(C169*C145)+(C170*C146)+(C169+C170)*C149</f>
        <v>64.696899999999999</v>
      </c>
      <c r="Y20" s="481"/>
      <c r="Z20" s="293">
        <f ca="1">C173*C147</f>
        <v>43.3543612173913</v>
      </c>
      <c r="AA20" s="293">
        <f ca="1">C175*C145+(C175)*C150</f>
        <v>0</v>
      </c>
      <c r="AB20" s="536">
        <f ca="1">(C177*C145)+(C178*C146)+C151*(C177+C178)</f>
        <v>84.205524197826094</v>
      </c>
      <c r="AC20" s="537"/>
      <c r="AD20" s="107"/>
      <c r="AE20" s="106"/>
      <c r="AF20" s="479">
        <f ca="1">(C180*C147)+(C181*C145)+(C146*C182)+(C184*C144)+C152*(C181+C182)</f>
        <v>101.67629952173912</v>
      </c>
      <c r="AG20" s="480"/>
      <c r="AH20" s="480"/>
      <c r="AI20" s="481"/>
      <c r="AJ20" s="479">
        <f ca="1">(C189*C144)+(C186*C145)+(C187*C146)+C152*(C186+C187)</f>
        <v>34.038334789130438</v>
      </c>
      <c r="AK20" s="480"/>
      <c r="AL20" s="480"/>
      <c r="AM20" s="480"/>
      <c r="AN20" s="632"/>
    </row>
    <row r="21" spans="1:40" x14ac:dyDescent="0.25">
      <c r="A21" s="125" t="s">
        <v>209</v>
      </c>
      <c r="B21" s="330"/>
      <c r="C21" s="353">
        <f ca="1">D96*C13+D101+D102*(1-'Data - samenstelling'!K22)+D103*'Data - samenstelling'!K22+D108*'Data - samenstelling'!K22+D111*'Data - samenstelling'!L22</f>
        <v>115.1017128098615</v>
      </c>
      <c r="D21" s="216" t="e">
        <f ca="1">D96*D13+D101+D102*(1-'Data - samenstelling'!K22)+D103*'Data - samenstelling'!K22+D113*'Data - samenstelling'!L22</f>
        <v>#DIV/0!</v>
      </c>
      <c r="E21" s="216" t="e">
        <f ca="1">D96*E13+D101+D102*(1-'Data - samenstelling'!K22)+D103*'Data - samenstelling'!K22+D113*'Data - samenstelling'!L22</f>
        <v>#DIV/0!</v>
      </c>
      <c r="F21" s="216" t="e">
        <f ca="1">D96*F13+D101+D102*(1-'Data - samenstelling'!K22)+D103*'Data - samenstelling'!K22+D113*'Data - samenstelling'!L22</f>
        <v>#DIV/0!</v>
      </c>
      <c r="G21" s="216" t="e">
        <f ca="1">D96*G13+D101+D102*(1-'Data - samenstelling'!K22)+D103*'Data - samenstelling'!K22+D108*'Data - samenstelling'!K22+D109*'Data - samenstelling'!L22</f>
        <v>#DIV/0!</v>
      </c>
      <c r="H21" s="216" t="e">
        <f ca="1">D96*H13+D101+D102*(1-'Data - samenstelling'!K22)+D103*'Data - samenstelling'!K22+D108*'Data - samenstelling'!K22+D109*'Data - samenstelling'!L22</f>
        <v>#DIV/0!</v>
      </c>
      <c r="I21" s="215" t="e">
        <f ca="1">D96*I13+D101+D102*(1-'Data - samenstelling'!K22)+D103*'Data - samenstelling'!K22+D108*'Data - samenstelling'!K22+D109*'Data - samenstelling'!L22</f>
        <v>#DIV/0!</v>
      </c>
      <c r="J21" s="214" t="e">
        <f ca="1">D96*J13+D101+D102*(1-'Data - samenstelling'!K22)+D103*'Data - samenstelling'!K22+D108*'Data - samenstelling'!K22+D109*'Data - samenstelling'!L22</f>
        <v>#DIV/0!</v>
      </c>
      <c r="K21" s="264" t="e">
        <f ca="1">D96*K13+D101+D102*(1-'Data - samenstelling'!K22)+D103*'Data - samenstelling'!K22+D108*'Data - samenstelling'!K22+D109*'Data - samenstelling'!L22</f>
        <v>#DIV/0!</v>
      </c>
      <c r="L21" s="216" t="e">
        <f ca="1">D96*L13+D101+D102*(1-'Data - samenstelling'!K22)+D103*'Data - samenstelling'!K22+D108*'Data - samenstelling'!K22+D109*'Data - samenstelling'!L22</f>
        <v>#DIV/0!</v>
      </c>
      <c r="M21" s="216" t="e">
        <f ca="1">D96*M13+D101+D102*(1-'Data - samenstelling'!K22)+D103*'Data - samenstelling'!K22+D108*'Data - samenstelling'!K22+D109*'Data - samenstelling'!L22</f>
        <v>#DIV/0!</v>
      </c>
      <c r="N21" s="215" t="e">
        <f ca="1">D96*N13+D101+D102*(1-'Data - samenstelling'!K22)+D103*'Data - samenstelling'!K22+D108*'Data - samenstelling'!K22+D109*'Data - samenstelling'!L22</f>
        <v>#DIV/0!</v>
      </c>
      <c r="O21" s="476" t="e">
        <f ca="1">D96*O13+D101+D102*(1-'Data - samenstelling'!K22)+D99+D103*'Data - samenstelling'!K22+D114*('Data - samenstelling'!K22*0.5)+D111*('Data - samenstelling'!L22*0.5)</f>
        <v>#DIV/0!</v>
      </c>
      <c r="P21" s="477"/>
      <c r="Q21" s="478"/>
      <c r="R21" s="216" t="e">
        <f ca="1">D96*R13+D101+D102*(1-'Data - samenstelling'!K22)+D103*'Data - samenstelling'!K22+D108*'Data - samenstelling'!K22+D111*'Data - samenstelling'!L22</f>
        <v>#DIV/0!</v>
      </c>
      <c r="S21" s="216">
        <f>D$96*S13*2</f>
        <v>0</v>
      </c>
      <c r="T21" s="216">
        <f>D$96*T13</f>
        <v>1.9285027256883687</v>
      </c>
      <c r="U21" s="216">
        <f>D96*R13+D101+D102*(1-'Data - samenstelling'!K20)</f>
        <v>13.053502725688368</v>
      </c>
      <c r="V21" s="216">
        <f>D$96*V13*2</f>
        <v>12.196922174036311</v>
      </c>
      <c r="W21" s="216">
        <f>D$96*W13+D97</f>
        <v>31.098461087018155</v>
      </c>
      <c r="X21" s="476" t="e">
        <f ca="1">D96*X13+D101+D102*(1-'Data - samenstelling'!K22)+D99+D103*'Data - samenstelling'!K22+D114*'Data - samenstelling'!K22</f>
        <v>#DIV/0!</v>
      </c>
      <c r="Y21" s="478"/>
      <c r="Z21" s="216" t="e">
        <f ca="1">D96*Z13+D101+D102*(1-'Data - samenstelling'!K22)+D99+D103*'Data - samenstelling'!K22+D113+D117*'Data - samenstelling'!M22</f>
        <v>#DIV/0!</v>
      </c>
      <c r="AA21" s="216" t="e">
        <f ca="1">D96*AA13+D101+D102*(1-'Data - samenstelling'!K22)+D104*'Data - samenstelling'!K18+D105*'Data - samenstelling'!K19+D106*'Data - samenstelling'!K20+D107*'Data - samenstelling'!K21+D120*'Data - samenstelling'!M22</f>
        <v>#DIV/0!</v>
      </c>
      <c r="AB21" s="476" t="e">
        <f ca="1">D96*AB13+D101+D102*(1-'Data - samenstelling'!K22)+D104*'Data - samenstelling'!K18+D105*'Data - samenstelling'!K19+D106*'Data - samenstelling'!K20+D107*'Data - samenstelling'!K21+D123*'Data - samenstelling'!M22</f>
        <v>#DIV/0!</v>
      </c>
      <c r="AC21" s="478"/>
      <c r="AD21" s="476">
        <f>D$96*AD13*2</f>
        <v>0</v>
      </c>
      <c r="AE21" s="478"/>
      <c r="AF21" s="476" t="e">
        <f ca="1">D96*AF13+D101+D102*(1-'Data - samenstelling'!K22)+D104*'Data - samenstelling'!K18+D105*'Data - samenstelling'!K19+D106*'Data - samenstelling'!K20+D107*'Data - samenstelling'!K21+D126*'Data - samenstelling'!M22</f>
        <v>#DIV/0!</v>
      </c>
      <c r="AG21" s="477"/>
      <c r="AH21" s="477"/>
      <c r="AI21" s="478"/>
      <c r="AJ21" s="476" t="e">
        <f ca="1">D96*AJ13+D101+D102*(1-'Data - samenstelling'!K22)+D104*'Data - samenstelling'!K18+D105*'Data - samenstelling'!K19+D106*'Data - samenstelling'!K20+D107*'Data - samenstelling'!K21+D129*'Data - samenstelling'!M22</f>
        <v>#DIV/0!</v>
      </c>
      <c r="AK21" s="477"/>
      <c r="AL21" s="477"/>
      <c r="AM21" s="477"/>
      <c r="AN21" s="538"/>
    </row>
    <row r="22" spans="1:40" ht="15" hidden="1" customHeight="1" x14ac:dyDescent="0.25">
      <c r="A22" s="125" t="s">
        <v>207</v>
      </c>
      <c r="B22" s="330"/>
      <c r="C22" s="353">
        <f t="shared" ref="C22:O22" ca="1" si="2">C21*C12</f>
        <v>5755085.6404930744</v>
      </c>
      <c r="D22" s="216" t="e">
        <f t="shared" ca="1" si="2"/>
        <v>#DIV/0!</v>
      </c>
      <c r="E22" s="216" t="e">
        <f t="shared" ca="1" si="2"/>
        <v>#DIV/0!</v>
      </c>
      <c r="F22" s="216" t="e">
        <f t="shared" ca="1" si="2"/>
        <v>#DIV/0!</v>
      </c>
      <c r="G22" s="216" t="e">
        <f t="shared" ca="1" si="2"/>
        <v>#DIV/0!</v>
      </c>
      <c r="H22" s="216" t="e">
        <f t="shared" ca="1" si="2"/>
        <v>#DIV/0!</v>
      </c>
      <c r="I22" s="216" t="e">
        <f t="shared" ca="1" si="2"/>
        <v>#DIV/0!</v>
      </c>
      <c r="J22" s="216" t="e">
        <f t="shared" ca="1" si="2"/>
        <v>#DIV/0!</v>
      </c>
      <c r="K22" s="216" t="e">
        <f t="shared" ca="1" si="2"/>
        <v>#DIV/0!</v>
      </c>
      <c r="L22" s="216" t="e">
        <f t="shared" ca="1" si="2"/>
        <v>#DIV/0!</v>
      </c>
      <c r="M22" s="216" t="e">
        <f t="shared" ca="1" si="2"/>
        <v>#DIV/0!</v>
      </c>
      <c r="N22" s="215" t="e">
        <f t="shared" ca="1" si="2"/>
        <v>#DIV/0!</v>
      </c>
      <c r="O22" s="476" t="e">
        <f t="shared" ca="1" si="2"/>
        <v>#DIV/0!</v>
      </c>
      <c r="P22" s="477"/>
      <c r="Q22" s="478"/>
      <c r="R22" s="216" t="e">
        <f t="shared" ref="R22:X22" ca="1" si="3">R21*R12</f>
        <v>#DIV/0!</v>
      </c>
      <c r="S22" s="216">
        <f t="shared" si="3"/>
        <v>0</v>
      </c>
      <c r="T22" s="216">
        <f t="shared" si="3"/>
        <v>9642.513628441844</v>
      </c>
      <c r="U22" s="216">
        <f t="shared" si="3"/>
        <v>65267.51362844184</v>
      </c>
      <c r="V22" s="216">
        <f t="shared" si="3"/>
        <v>609846.1087018156</v>
      </c>
      <c r="W22" s="216">
        <f t="shared" si="3"/>
        <v>1554923.0543509077</v>
      </c>
      <c r="X22" s="476" t="e">
        <f t="shared" ca="1" si="3"/>
        <v>#DIV/0!</v>
      </c>
      <c r="Y22" s="478"/>
      <c r="Z22" s="216" t="e">
        <f ca="1">Z21*Z12</f>
        <v>#DIV/0!</v>
      </c>
      <c r="AA22" s="216" t="e">
        <f ca="1">AA21*AA12</f>
        <v>#DIV/0!</v>
      </c>
      <c r="AB22" s="216"/>
      <c r="AC22" s="216" t="e">
        <f ca="1">AB21*AB12</f>
        <v>#DIV/0!</v>
      </c>
      <c r="AD22" s="216">
        <f>AD21*AD12</f>
        <v>0</v>
      </c>
      <c r="AE22" s="216">
        <f>AE21*AE12</f>
        <v>0</v>
      </c>
      <c r="AF22" s="476" t="e">
        <f ca="1">AF21*AF12</f>
        <v>#DIV/0!</v>
      </c>
      <c r="AG22" s="477"/>
      <c r="AH22" s="477"/>
      <c r="AI22" s="478"/>
      <c r="AJ22" s="476" t="e">
        <f ca="1">AJ21*AJ12</f>
        <v>#DIV/0!</v>
      </c>
      <c r="AK22" s="477"/>
      <c r="AL22" s="477"/>
      <c r="AM22" s="477"/>
      <c r="AN22" s="538"/>
    </row>
    <row r="23" spans="1:40" x14ac:dyDescent="0.25">
      <c r="A23" s="2" t="s">
        <v>296</v>
      </c>
      <c r="B23" s="253"/>
      <c r="C23" s="353">
        <f t="shared" ref="C23:O23" ca="1" si="4">C20-C21</f>
        <v>-25.476240801149416</v>
      </c>
      <c r="D23" s="264" t="e">
        <f t="shared" ca="1" si="4"/>
        <v>#DIV/0!</v>
      </c>
      <c r="E23" s="264" t="e">
        <f t="shared" ca="1" si="4"/>
        <v>#DIV/0!</v>
      </c>
      <c r="F23" s="264" t="e">
        <f t="shared" ca="1" si="4"/>
        <v>#DIV/0!</v>
      </c>
      <c r="G23" s="264" t="e">
        <f t="shared" ca="1" si="4"/>
        <v>#DIV/0!</v>
      </c>
      <c r="H23" s="264" t="e">
        <f t="shared" ca="1" si="4"/>
        <v>#DIV/0!</v>
      </c>
      <c r="I23" s="264" t="e">
        <f t="shared" ca="1" si="4"/>
        <v>#DIV/0!</v>
      </c>
      <c r="J23" s="264" t="e">
        <f t="shared" ca="1" si="4"/>
        <v>#DIV/0!</v>
      </c>
      <c r="K23" s="264" t="e">
        <f t="shared" ca="1" si="4"/>
        <v>#DIV/0!</v>
      </c>
      <c r="L23" s="264" t="e">
        <f t="shared" ca="1" si="4"/>
        <v>#DIV/0!</v>
      </c>
      <c r="M23" s="264" t="e">
        <f t="shared" ca="1" si="4"/>
        <v>#DIV/0!</v>
      </c>
      <c r="N23" s="214" t="e">
        <f t="shared" ca="1" si="4"/>
        <v>#DIV/0!</v>
      </c>
      <c r="O23" s="476" t="e">
        <f t="shared" ca="1" si="4"/>
        <v>#DIV/0!</v>
      </c>
      <c r="P23" s="477"/>
      <c r="Q23" s="478"/>
      <c r="R23" s="216" t="e">
        <f ca="1">R20-R21</f>
        <v>#DIV/0!</v>
      </c>
      <c r="S23" s="264">
        <f>S21-S20</f>
        <v>0</v>
      </c>
      <c r="T23" s="264">
        <f>T20-T21</f>
        <v>-1.9285027256883687</v>
      </c>
      <c r="U23" s="264">
        <f>U20-U21</f>
        <v>-13.053502725688368</v>
      </c>
      <c r="V23" s="264" t="e">
        <f ca="1">V20-V21</f>
        <v>#DIV/0!</v>
      </c>
      <c r="W23" s="264" t="e">
        <f ca="1">W20-W21</f>
        <v>#DIV/0!</v>
      </c>
      <c r="X23" s="476" t="e">
        <f ca="1">X20-X21</f>
        <v>#DIV/0!</v>
      </c>
      <c r="Y23" s="478"/>
      <c r="Z23" s="264" t="e">
        <f ca="1">Z20-Z21</f>
        <v>#DIV/0!</v>
      </c>
      <c r="AA23" s="264" t="e">
        <f ca="1">AA20-AA21</f>
        <v>#DIV/0!</v>
      </c>
      <c r="AB23" s="476" t="e">
        <f ca="1">AB20-AB21</f>
        <v>#DIV/0!</v>
      </c>
      <c r="AC23" s="478"/>
      <c r="AD23" s="264">
        <f>AD21-AD20</f>
        <v>0</v>
      </c>
      <c r="AE23" s="264">
        <f>AE21-AE20</f>
        <v>0</v>
      </c>
      <c r="AF23" s="476" t="e">
        <f ca="1">AF20-AF21</f>
        <v>#DIV/0!</v>
      </c>
      <c r="AG23" s="477"/>
      <c r="AH23" s="477"/>
      <c r="AI23" s="478"/>
      <c r="AJ23" s="476" t="e">
        <f ca="1">AJ20-AJ21</f>
        <v>#DIV/0!</v>
      </c>
      <c r="AK23" s="477"/>
      <c r="AL23" s="477"/>
      <c r="AM23" s="477"/>
      <c r="AN23" s="538"/>
    </row>
    <row r="24" spans="1:40" x14ac:dyDescent="0.25">
      <c r="A24" s="259" t="s">
        <v>303</v>
      </c>
      <c r="B24" s="259"/>
      <c r="C24" s="354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553"/>
      <c r="P24" s="553"/>
      <c r="Q24" s="553"/>
      <c r="R24" s="263"/>
      <c r="S24" s="263"/>
      <c r="T24" s="263"/>
      <c r="U24" s="263"/>
      <c r="V24" s="263"/>
      <c r="W24" s="263"/>
      <c r="X24" s="546">
        <f ca="1">('Data - samenstelling'!N22)/(7500*3600)*1000*1000*(C115)</f>
        <v>198.21236192592593</v>
      </c>
      <c r="Y24" s="546"/>
      <c r="Z24" s="265">
        <f ca="1">(C173)/(7500*3600)*1000*1000*C118</f>
        <v>0</v>
      </c>
      <c r="AA24" s="265">
        <f ca="1">(C175)/(7500*3600)*1000*1000*C121</f>
        <v>299.35154173913048</v>
      </c>
      <c r="AB24" s="534">
        <f ca="1">(C177+C178)/(7500*3600)*1000*1000*C124</f>
        <v>1956.2221823381642</v>
      </c>
      <c r="AC24" s="535"/>
      <c r="AD24" s="526"/>
      <c r="AE24" s="526"/>
      <c r="AF24" s="526">
        <f ca="1">(C181+C180+C182+C183)/(7500*3600)*1000*1000*C127</f>
        <v>2708.6153293913048</v>
      </c>
      <c r="AG24" s="526"/>
      <c r="AH24" s="526"/>
      <c r="AI24" s="526"/>
      <c r="AJ24" s="526">
        <f ca="1">(C187+C186+C188)/(7500*3600)*1000*1000*C130</f>
        <v>2708.6153293913048</v>
      </c>
      <c r="AK24" s="526"/>
      <c r="AL24" s="526"/>
      <c r="AM24" s="526"/>
      <c r="AN24" s="627"/>
    </row>
    <row r="25" spans="1:40" ht="15.75" thickBot="1" x14ac:dyDescent="0.3">
      <c r="A25" s="259" t="s">
        <v>297</v>
      </c>
      <c r="B25" s="259"/>
      <c r="C25" s="355">
        <f ca="1">C24/C23</f>
        <v>0</v>
      </c>
      <c r="D25" s="266" t="e">
        <f t="shared" ref="D25:N25" ca="1" si="5">D24/D23</f>
        <v>#DIV/0!</v>
      </c>
      <c r="E25" s="266" t="e">
        <f t="shared" ca="1" si="5"/>
        <v>#DIV/0!</v>
      </c>
      <c r="F25" s="266" t="e">
        <f t="shared" ca="1" si="5"/>
        <v>#DIV/0!</v>
      </c>
      <c r="G25" s="266" t="e">
        <f t="shared" ca="1" si="5"/>
        <v>#DIV/0!</v>
      </c>
      <c r="H25" s="266" t="e">
        <f t="shared" ca="1" si="5"/>
        <v>#DIV/0!</v>
      </c>
      <c r="I25" s="266" t="e">
        <f t="shared" ca="1" si="5"/>
        <v>#DIV/0!</v>
      </c>
      <c r="J25" s="266" t="e">
        <f t="shared" ca="1" si="5"/>
        <v>#DIV/0!</v>
      </c>
      <c r="K25" s="266" t="e">
        <f t="shared" ca="1" si="5"/>
        <v>#DIV/0!</v>
      </c>
      <c r="L25" s="266" t="e">
        <f t="shared" ca="1" si="5"/>
        <v>#DIV/0!</v>
      </c>
      <c r="M25" s="266" t="e">
        <f t="shared" ca="1" si="5"/>
        <v>#DIV/0!</v>
      </c>
      <c r="N25" s="266" t="e">
        <f t="shared" ca="1" si="5"/>
        <v>#DIV/0!</v>
      </c>
      <c r="O25" s="521" t="e">
        <f ca="1">O24/O23</f>
        <v>#DIV/0!</v>
      </c>
      <c r="P25" s="521"/>
      <c r="Q25" s="521"/>
      <c r="R25" s="266" t="e">
        <f t="shared" ref="R25" ca="1" si="6">R24/R23</f>
        <v>#DIV/0!</v>
      </c>
      <c r="S25" s="266"/>
      <c r="T25" s="266">
        <f t="shared" ref="T25:W25" si="7">T24/T23</f>
        <v>0</v>
      </c>
      <c r="U25" s="266">
        <f t="shared" si="7"/>
        <v>0</v>
      </c>
      <c r="V25" s="266"/>
      <c r="W25" s="266" t="e">
        <f t="shared" ca="1" si="7"/>
        <v>#DIV/0!</v>
      </c>
      <c r="X25" s="521" t="e">
        <f ca="1">X24/X23</f>
        <v>#DIV/0!</v>
      </c>
      <c r="Y25" s="521"/>
      <c r="Z25" s="266" t="e">
        <f ca="1">Z24/Z23</f>
        <v>#DIV/0!</v>
      </c>
      <c r="AA25" s="266" t="e">
        <f ca="1">AA24/AA23</f>
        <v>#DIV/0!</v>
      </c>
      <c r="AB25" s="532" t="e">
        <f ca="1">AB24/AB23</f>
        <v>#DIV/0!</v>
      </c>
      <c r="AC25" s="533"/>
      <c r="AD25" s="521"/>
      <c r="AE25" s="521"/>
      <c r="AF25" s="521" t="e">
        <f ca="1">AF24/AF23</f>
        <v>#DIV/0!</v>
      </c>
      <c r="AG25" s="521"/>
      <c r="AH25" s="521"/>
      <c r="AI25" s="521"/>
      <c r="AJ25" s="521" t="e">
        <f ca="1">AJ24/AJ23</f>
        <v>#DIV/0!</v>
      </c>
      <c r="AK25" s="521"/>
      <c r="AL25" s="521"/>
      <c r="AM25" s="521"/>
      <c r="AN25" s="554"/>
    </row>
    <row r="26" spans="1:40" ht="15" hidden="1" customHeight="1" outlineLevel="1" x14ac:dyDescent="0.25">
      <c r="A26" s="109" t="s">
        <v>183</v>
      </c>
      <c r="B26" s="331"/>
      <c r="C26" s="356"/>
      <c r="D26" s="199"/>
      <c r="E26" s="199"/>
      <c r="F26" s="199"/>
      <c r="G26" s="199"/>
      <c r="H26" s="199"/>
      <c r="I26" s="243"/>
      <c r="J26" s="226"/>
      <c r="K26" s="176"/>
      <c r="L26" s="199"/>
      <c r="M26" s="199"/>
      <c r="N26" s="199"/>
      <c r="O26" s="226"/>
      <c r="P26" s="243"/>
      <c r="Q26" s="199"/>
      <c r="R26" s="199"/>
      <c r="S26" s="199"/>
      <c r="T26" s="199"/>
      <c r="U26" s="199"/>
      <c r="V26" s="199"/>
      <c r="W26" s="199"/>
      <c r="X26" s="226"/>
      <c r="Y26" s="199"/>
      <c r="Z26" s="199"/>
      <c r="AA26" s="199"/>
      <c r="AB26" s="199"/>
      <c r="AC26" s="199"/>
      <c r="AD26" s="226"/>
      <c r="AE26" s="199"/>
      <c r="AF26" s="226"/>
      <c r="AG26" s="243"/>
      <c r="AH26" s="243"/>
      <c r="AI26" s="199"/>
      <c r="AJ26" s="621"/>
      <c r="AK26" s="622"/>
      <c r="AL26" s="622"/>
      <c r="AM26" s="622"/>
      <c r="AN26" s="623"/>
    </row>
    <row r="27" spans="1:40" ht="15" hidden="1" customHeight="1" outlineLevel="1" x14ac:dyDescent="0.25">
      <c r="A27" s="109" t="s">
        <v>197</v>
      </c>
      <c r="B27" s="332"/>
      <c r="C27" s="339" t="s">
        <v>16</v>
      </c>
      <c r="D27" s="218" t="s">
        <v>16</v>
      </c>
      <c r="E27" s="218" t="s">
        <v>16</v>
      </c>
      <c r="F27" s="218" t="s">
        <v>16</v>
      </c>
      <c r="G27" s="218" t="s">
        <v>16</v>
      </c>
      <c r="H27" s="218" t="s">
        <v>16</v>
      </c>
      <c r="I27" s="218" t="s">
        <v>16</v>
      </c>
      <c r="J27" s="221" t="s">
        <v>16</v>
      </c>
      <c r="K27" s="218" t="s">
        <v>16</v>
      </c>
      <c r="L27" s="218" t="s">
        <v>16</v>
      </c>
      <c r="M27" s="218" t="s">
        <v>16</v>
      </c>
      <c r="N27" s="218" t="s">
        <v>16</v>
      </c>
      <c r="O27" s="550" t="s">
        <v>16</v>
      </c>
      <c r="P27" s="551"/>
      <c r="Q27" s="552"/>
      <c r="R27" s="218" t="s">
        <v>16</v>
      </c>
      <c r="S27" s="218"/>
      <c r="T27" s="218" t="s">
        <v>16</v>
      </c>
      <c r="U27" s="218" t="s">
        <v>16</v>
      </c>
      <c r="V27" s="218" t="s">
        <v>16</v>
      </c>
      <c r="W27" s="218" t="s">
        <v>16</v>
      </c>
      <c r="X27" s="550" t="s">
        <v>16</v>
      </c>
      <c r="Y27" s="552"/>
      <c r="Z27" s="218" t="s">
        <v>16</v>
      </c>
      <c r="AA27" s="218" t="s">
        <v>16</v>
      </c>
      <c r="AB27" s="218"/>
      <c r="AC27" s="218" t="s">
        <v>16</v>
      </c>
      <c r="AD27" s="68"/>
      <c r="AE27" s="69"/>
      <c r="AF27" s="550" t="s">
        <v>16</v>
      </c>
      <c r="AG27" s="551"/>
      <c r="AH27" s="551"/>
      <c r="AI27" s="552"/>
      <c r="AJ27" s="550" t="s">
        <v>16</v>
      </c>
      <c r="AK27" s="551"/>
      <c r="AL27" s="551"/>
      <c r="AM27" s="551"/>
      <c r="AN27" s="620"/>
    </row>
    <row r="28" spans="1:40" ht="18.75" hidden="1" customHeight="1" outlineLevel="1" x14ac:dyDescent="0.25">
      <c r="A28" s="109" t="s">
        <v>131</v>
      </c>
      <c r="B28" s="332"/>
      <c r="C28" s="340" t="s">
        <v>63</v>
      </c>
      <c r="D28" s="17" t="s">
        <v>63</v>
      </c>
      <c r="E28" s="17" t="s">
        <v>63</v>
      </c>
      <c r="F28" s="17" t="s">
        <v>63</v>
      </c>
      <c r="G28" s="17" t="s">
        <v>63</v>
      </c>
      <c r="H28" s="17" t="s">
        <v>63</v>
      </c>
      <c r="I28" s="17" t="s">
        <v>63</v>
      </c>
      <c r="J28" s="223" t="s">
        <v>63</v>
      </c>
      <c r="K28" s="17" t="s">
        <v>63</v>
      </c>
      <c r="L28" s="17" t="s">
        <v>63</v>
      </c>
      <c r="M28" s="17" t="s">
        <v>63</v>
      </c>
      <c r="N28" s="17" t="s">
        <v>63</v>
      </c>
      <c r="O28" s="559" t="s">
        <v>63</v>
      </c>
      <c r="P28" s="560"/>
      <c r="Q28" s="561"/>
      <c r="R28" s="17" t="s">
        <v>63</v>
      </c>
      <c r="S28" s="222"/>
      <c r="T28" s="17" t="s">
        <v>63</v>
      </c>
      <c r="U28" s="17" t="s">
        <v>63</v>
      </c>
      <c r="V28" s="17" t="s">
        <v>63</v>
      </c>
      <c r="W28" s="17" t="s">
        <v>63</v>
      </c>
      <c r="X28" s="559" t="s">
        <v>63</v>
      </c>
      <c r="Y28" s="561"/>
      <c r="Z28" s="17" t="s">
        <v>63</v>
      </c>
      <c r="AA28" s="17" t="s">
        <v>63</v>
      </c>
      <c r="AB28" s="17"/>
      <c r="AC28" s="17" t="s">
        <v>63</v>
      </c>
      <c r="AD28" s="68"/>
      <c r="AE28" s="69"/>
      <c r="AF28" s="559" t="s">
        <v>63</v>
      </c>
      <c r="AG28" s="560"/>
      <c r="AH28" s="560"/>
      <c r="AI28" s="561"/>
      <c r="AJ28" s="559" t="s">
        <v>63</v>
      </c>
      <c r="AK28" s="560"/>
      <c r="AL28" s="560"/>
      <c r="AM28" s="560"/>
      <c r="AN28" s="605"/>
    </row>
    <row r="29" spans="1:40" ht="18.75" hidden="1" customHeight="1" outlineLevel="1" x14ac:dyDescent="0.25">
      <c r="A29" s="109" t="s">
        <v>186</v>
      </c>
      <c r="B29" s="331"/>
      <c r="C29" s="340" t="s">
        <v>63</v>
      </c>
      <c r="D29" s="17" t="s">
        <v>63</v>
      </c>
      <c r="E29" s="17" t="s">
        <v>63</v>
      </c>
      <c r="F29" s="17" t="s">
        <v>63</v>
      </c>
      <c r="G29" s="17" t="s">
        <v>63</v>
      </c>
      <c r="H29" s="17" t="s">
        <v>63</v>
      </c>
      <c r="I29" s="17" t="s">
        <v>63</v>
      </c>
      <c r="J29" s="223" t="s">
        <v>63</v>
      </c>
      <c r="K29" s="17" t="s">
        <v>63</v>
      </c>
      <c r="L29" s="17" t="s">
        <v>63</v>
      </c>
      <c r="M29" s="17" t="s">
        <v>63</v>
      </c>
      <c r="N29" s="17" t="s">
        <v>63</v>
      </c>
      <c r="O29" s="559" t="s">
        <v>63</v>
      </c>
      <c r="P29" s="560"/>
      <c r="Q29" s="561"/>
      <c r="R29" s="17" t="s">
        <v>63</v>
      </c>
      <c r="S29" s="222"/>
      <c r="T29" s="17" t="s">
        <v>63</v>
      </c>
      <c r="U29" s="17" t="s">
        <v>63</v>
      </c>
      <c r="V29" s="17" t="s">
        <v>63</v>
      </c>
      <c r="W29" s="17" t="s">
        <v>63</v>
      </c>
      <c r="X29" s="559" t="s">
        <v>63</v>
      </c>
      <c r="Y29" s="561"/>
      <c r="Z29" s="17" t="s">
        <v>63</v>
      </c>
      <c r="AA29" s="17" t="s">
        <v>63</v>
      </c>
      <c r="AB29" s="17"/>
      <c r="AC29" s="17" t="s">
        <v>63</v>
      </c>
      <c r="AD29" s="68"/>
      <c r="AE29" s="69"/>
      <c r="AF29" s="559" t="s">
        <v>63</v>
      </c>
      <c r="AG29" s="560"/>
      <c r="AH29" s="560"/>
      <c r="AI29" s="561"/>
      <c r="AJ29" s="559" t="s">
        <v>63</v>
      </c>
      <c r="AK29" s="560"/>
      <c r="AL29" s="560"/>
      <c r="AM29" s="560"/>
      <c r="AN29" s="605"/>
    </row>
    <row r="30" spans="1:40" ht="15" hidden="1" customHeight="1" outlineLevel="1" x14ac:dyDescent="0.25">
      <c r="A30" s="109" t="s">
        <v>185</v>
      </c>
      <c r="B30" s="331"/>
      <c r="C30" s="339" t="s">
        <v>16</v>
      </c>
      <c r="D30" s="218" t="s">
        <v>16</v>
      </c>
      <c r="E30" s="218" t="s">
        <v>16</v>
      </c>
      <c r="F30" s="218" t="s">
        <v>16</v>
      </c>
      <c r="G30" s="218" t="s">
        <v>16</v>
      </c>
      <c r="H30" s="218" t="s">
        <v>16</v>
      </c>
      <c r="I30" s="218" t="s">
        <v>16</v>
      </c>
      <c r="J30" s="221" t="s">
        <v>16</v>
      </c>
      <c r="K30" s="218" t="s">
        <v>16</v>
      </c>
      <c r="L30" s="218" t="s">
        <v>16</v>
      </c>
      <c r="M30" s="218" t="s">
        <v>16</v>
      </c>
      <c r="N30" s="218" t="s">
        <v>16</v>
      </c>
      <c r="O30" s="550" t="s">
        <v>16</v>
      </c>
      <c r="P30" s="551"/>
      <c r="Q30" s="552"/>
      <c r="R30" s="218" t="s">
        <v>16</v>
      </c>
      <c r="S30" s="218"/>
      <c r="T30" s="3" t="s">
        <v>17</v>
      </c>
      <c r="U30" s="218" t="s">
        <v>16</v>
      </c>
      <c r="V30" s="3" t="s">
        <v>17</v>
      </c>
      <c r="W30" s="3" t="s">
        <v>17</v>
      </c>
      <c r="X30" s="550" t="s">
        <v>16</v>
      </c>
      <c r="Y30" s="552"/>
      <c r="Z30" s="218" t="s">
        <v>16</v>
      </c>
      <c r="AA30" s="218" t="s">
        <v>16</v>
      </c>
      <c r="AB30" s="218"/>
      <c r="AC30" s="218" t="s">
        <v>16</v>
      </c>
      <c r="AD30" s="68"/>
      <c r="AE30" s="69"/>
      <c r="AF30" s="550" t="s">
        <v>16</v>
      </c>
      <c r="AG30" s="551"/>
      <c r="AH30" s="551"/>
      <c r="AI30" s="552"/>
      <c r="AJ30" s="550" t="s">
        <v>16</v>
      </c>
      <c r="AK30" s="551"/>
      <c r="AL30" s="551"/>
      <c r="AM30" s="551"/>
      <c r="AN30" s="620"/>
    </row>
    <row r="31" spans="1:40" ht="15" hidden="1" customHeight="1" outlineLevel="1" x14ac:dyDescent="0.25">
      <c r="A31" s="109" t="s">
        <v>194</v>
      </c>
      <c r="B31" s="331"/>
      <c r="C31" s="339" t="s">
        <v>16</v>
      </c>
      <c r="D31" s="218" t="s">
        <v>16</v>
      </c>
      <c r="E31" s="218" t="s">
        <v>16</v>
      </c>
      <c r="F31" s="218" t="s">
        <v>16</v>
      </c>
      <c r="G31" s="218" t="s">
        <v>16</v>
      </c>
      <c r="H31" s="218" t="s">
        <v>16</v>
      </c>
      <c r="I31" s="218" t="s">
        <v>16</v>
      </c>
      <c r="J31" s="221" t="s">
        <v>16</v>
      </c>
      <c r="K31" s="218" t="s">
        <v>16</v>
      </c>
      <c r="L31" s="218" t="s">
        <v>16</v>
      </c>
      <c r="M31" s="218" t="s">
        <v>16</v>
      </c>
      <c r="N31" s="218" t="s">
        <v>16</v>
      </c>
      <c r="O31" s="550" t="s">
        <v>16</v>
      </c>
      <c r="P31" s="551"/>
      <c r="Q31" s="552"/>
      <c r="R31" s="218" t="s">
        <v>16</v>
      </c>
      <c r="S31" s="218"/>
      <c r="T31" s="3" t="s">
        <v>17</v>
      </c>
      <c r="U31" s="218" t="s">
        <v>16</v>
      </c>
      <c r="V31" s="3" t="s">
        <v>17</v>
      </c>
      <c r="W31" s="3" t="s">
        <v>17</v>
      </c>
      <c r="X31" s="550" t="s">
        <v>16</v>
      </c>
      <c r="Y31" s="552"/>
      <c r="Z31" s="218" t="s">
        <v>16</v>
      </c>
      <c r="AA31" s="218" t="s">
        <v>16</v>
      </c>
      <c r="AB31" s="218"/>
      <c r="AC31" s="218" t="s">
        <v>16</v>
      </c>
      <c r="AD31" s="68"/>
      <c r="AE31" s="69"/>
      <c r="AF31" s="550" t="s">
        <v>16</v>
      </c>
      <c r="AG31" s="551"/>
      <c r="AH31" s="551"/>
      <c r="AI31" s="552"/>
      <c r="AJ31" s="550" t="s">
        <v>16</v>
      </c>
      <c r="AK31" s="551"/>
      <c r="AL31" s="551"/>
      <c r="AM31" s="551"/>
      <c r="AN31" s="620"/>
    </row>
    <row r="32" spans="1:40" ht="15" hidden="1" customHeight="1" outlineLevel="1" x14ac:dyDescent="0.25">
      <c r="A32" s="109" t="s">
        <v>184</v>
      </c>
      <c r="B32" s="331"/>
      <c r="C32" s="339" t="s">
        <v>16</v>
      </c>
      <c r="D32" s="218" t="s">
        <v>16</v>
      </c>
      <c r="E32" s="218" t="s">
        <v>16</v>
      </c>
      <c r="F32" s="218" t="s">
        <v>16</v>
      </c>
      <c r="G32" s="218" t="s">
        <v>16</v>
      </c>
      <c r="H32" s="218" t="s">
        <v>16</v>
      </c>
      <c r="I32" s="218" t="s">
        <v>16</v>
      </c>
      <c r="J32" s="221" t="s">
        <v>16</v>
      </c>
      <c r="K32" s="218" t="s">
        <v>16</v>
      </c>
      <c r="L32" s="218" t="s">
        <v>16</v>
      </c>
      <c r="M32" s="218" t="s">
        <v>16</v>
      </c>
      <c r="N32" s="218" t="s">
        <v>16</v>
      </c>
      <c r="O32" s="550" t="s">
        <v>16</v>
      </c>
      <c r="P32" s="551"/>
      <c r="Q32" s="552"/>
      <c r="R32" s="218" t="s">
        <v>16</v>
      </c>
      <c r="S32" s="69"/>
      <c r="T32" s="3" t="s">
        <v>17</v>
      </c>
      <c r="U32" s="3" t="s">
        <v>17</v>
      </c>
      <c r="V32" s="69"/>
      <c r="W32" s="3" t="s">
        <v>17</v>
      </c>
      <c r="X32" s="550" t="s">
        <v>16</v>
      </c>
      <c r="Y32" s="552"/>
      <c r="Z32" s="218" t="s">
        <v>16</v>
      </c>
      <c r="AA32" s="3" t="s">
        <v>17</v>
      </c>
      <c r="AB32" s="3"/>
      <c r="AC32" s="3" t="s">
        <v>17</v>
      </c>
      <c r="AD32" s="68"/>
      <c r="AE32" s="69"/>
      <c r="AF32" s="547" t="s">
        <v>17</v>
      </c>
      <c r="AG32" s="548"/>
      <c r="AH32" s="548"/>
      <c r="AI32" s="549"/>
      <c r="AJ32" s="547" t="s">
        <v>17</v>
      </c>
      <c r="AK32" s="548"/>
      <c r="AL32" s="548"/>
      <c r="AM32" s="548"/>
      <c r="AN32" s="617"/>
    </row>
    <row r="33" spans="1:40" ht="18.75" hidden="1" customHeight="1" outlineLevel="1" x14ac:dyDescent="0.25">
      <c r="A33" s="109" t="s">
        <v>210</v>
      </c>
      <c r="B33" s="331"/>
      <c r="C33" s="339" t="s">
        <v>16</v>
      </c>
      <c r="D33" s="218" t="s">
        <v>16</v>
      </c>
      <c r="E33" s="17" t="s">
        <v>63</v>
      </c>
      <c r="F33" s="17" t="s">
        <v>63</v>
      </c>
      <c r="G33" s="218" t="s">
        <v>16</v>
      </c>
      <c r="H33" s="218" t="s">
        <v>16</v>
      </c>
      <c r="I33" s="218" t="s">
        <v>16</v>
      </c>
      <c r="J33" s="221" t="s">
        <v>16</v>
      </c>
      <c r="K33" s="218" t="s">
        <v>16</v>
      </c>
      <c r="L33" s="218" t="s">
        <v>16</v>
      </c>
      <c r="M33" s="218" t="s">
        <v>16</v>
      </c>
      <c r="N33" s="218" t="s">
        <v>16</v>
      </c>
      <c r="O33" s="547" t="s">
        <v>17</v>
      </c>
      <c r="P33" s="548"/>
      <c r="Q33" s="549"/>
      <c r="R33" s="218" t="s">
        <v>16</v>
      </c>
      <c r="S33" s="69"/>
      <c r="T33" s="3" t="s">
        <v>17</v>
      </c>
      <c r="U33" s="3" t="s">
        <v>17</v>
      </c>
      <c r="V33" s="69"/>
      <c r="W33" s="3" t="s">
        <v>17</v>
      </c>
      <c r="X33" s="547" t="s">
        <v>17</v>
      </c>
      <c r="Y33" s="549"/>
      <c r="Z33" s="3" t="s">
        <v>17</v>
      </c>
      <c r="AA33" s="3" t="s">
        <v>17</v>
      </c>
      <c r="AB33" s="3"/>
      <c r="AC33" s="3" t="s">
        <v>17</v>
      </c>
      <c r="AD33" s="68"/>
      <c r="AE33" s="69"/>
      <c r="AF33" s="547" t="s">
        <v>17</v>
      </c>
      <c r="AG33" s="548"/>
      <c r="AH33" s="548"/>
      <c r="AI33" s="549"/>
      <c r="AJ33" s="547" t="s">
        <v>17</v>
      </c>
      <c r="AK33" s="548"/>
      <c r="AL33" s="548"/>
      <c r="AM33" s="548"/>
      <c r="AN33" s="617"/>
    </row>
    <row r="34" spans="1:40" ht="18.75" hidden="1" customHeight="1" outlineLevel="1" x14ac:dyDescent="0.25">
      <c r="A34" s="109" t="s">
        <v>224</v>
      </c>
      <c r="B34" s="331"/>
      <c r="C34" s="357" t="s">
        <v>17</v>
      </c>
      <c r="D34" s="17" t="s">
        <v>63</v>
      </c>
      <c r="E34" s="17" t="s">
        <v>63</v>
      </c>
      <c r="F34" s="17" t="s">
        <v>63</v>
      </c>
      <c r="G34" s="3" t="s">
        <v>17</v>
      </c>
      <c r="H34" s="3" t="s">
        <v>17</v>
      </c>
      <c r="I34" s="3" t="s">
        <v>17</v>
      </c>
      <c r="J34" s="219" t="s">
        <v>17</v>
      </c>
      <c r="K34" s="3" t="s">
        <v>17</v>
      </c>
      <c r="L34" s="3" t="s">
        <v>17</v>
      </c>
      <c r="M34" s="3" t="s">
        <v>17</v>
      </c>
      <c r="N34" s="3" t="s">
        <v>17</v>
      </c>
      <c r="O34" s="547" t="s">
        <v>17</v>
      </c>
      <c r="P34" s="548"/>
      <c r="Q34" s="549"/>
      <c r="R34" s="3" t="s">
        <v>17</v>
      </c>
      <c r="S34" s="69"/>
      <c r="T34" s="3" t="s">
        <v>17</v>
      </c>
      <c r="U34" s="3" t="s">
        <v>17</v>
      </c>
      <c r="V34" s="69"/>
      <c r="W34" s="3" t="s">
        <v>17</v>
      </c>
      <c r="X34" s="547" t="s">
        <v>17</v>
      </c>
      <c r="Y34" s="549"/>
      <c r="Z34" s="218" t="s">
        <v>16</v>
      </c>
      <c r="AA34" s="218" t="s">
        <v>16</v>
      </c>
      <c r="AB34" s="218"/>
      <c r="AC34" s="218" t="s">
        <v>16</v>
      </c>
      <c r="AD34" s="68"/>
      <c r="AE34" s="69"/>
      <c r="AF34" s="550" t="s">
        <v>16</v>
      </c>
      <c r="AG34" s="551"/>
      <c r="AH34" s="551"/>
      <c r="AI34" s="552"/>
      <c r="AJ34" s="550" t="s">
        <v>16</v>
      </c>
      <c r="AK34" s="551"/>
      <c r="AL34" s="551"/>
      <c r="AM34" s="551"/>
      <c r="AN34" s="620"/>
    </row>
    <row r="35" spans="1:40" ht="15" hidden="1" customHeight="1" outlineLevel="1" x14ac:dyDescent="0.25">
      <c r="A35" s="110" t="s">
        <v>196</v>
      </c>
      <c r="B35" s="333" t="s">
        <v>187</v>
      </c>
      <c r="C35" s="357" t="s">
        <v>17</v>
      </c>
      <c r="D35" s="3" t="s">
        <v>17</v>
      </c>
      <c r="E35" s="3" t="s">
        <v>17</v>
      </c>
      <c r="F35" s="3" t="s">
        <v>17</v>
      </c>
      <c r="G35" s="218" t="s">
        <v>16</v>
      </c>
      <c r="H35" s="218" t="s">
        <v>16</v>
      </c>
      <c r="I35" s="218" t="s">
        <v>16</v>
      </c>
      <c r="J35" s="221" t="s">
        <v>16</v>
      </c>
      <c r="K35" s="218" t="s">
        <v>16</v>
      </c>
      <c r="L35" s="218" t="s">
        <v>16</v>
      </c>
      <c r="M35" s="218" t="s">
        <v>16</v>
      </c>
      <c r="N35" s="218" t="s">
        <v>16</v>
      </c>
      <c r="O35" s="547" t="s">
        <v>17</v>
      </c>
      <c r="P35" s="548"/>
      <c r="Q35" s="549"/>
      <c r="R35" s="3" t="s">
        <v>17</v>
      </c>
      <c r="S35" s="69"/>
      <c r="T35" s="3" t="s">
        <v>17</v>
      </c>
      <c r="U35" s="3" t="s">
        <v>17</v>
      </c>
      <c r="V35" s="69"/>
      <c r="W35" s="3" t="s">
        <v>17</v>
      </c>
      <c r="X35" s="547" t="s">
        <v>17</v>
      </c>
      <c r="Y35" s="549"/>
      <c r="Z35" s="3" t="s">
        <v>17</v>
      </c>
      <c r="AA35" s="3" t="s">
        <v>17</v>
      </c>
      <c r="AB35" s="3"/>
      <c r="AC35" s="3" t="s">
        <v>17</v>
      </c>
      <c r="AD35" s="68"/>
      <c r="AE35" s="69"/>
      <c r="AF35" s="547" t="s">
        <v>17</v>
      </c>
      <c r="AG35" s="548"/>
      <c r="AH35" s="548"/>
      <c r="AI35" s="549"/>
      <c r="AJ35" s="547" t="s">
        <v>17</v>
      </c>
      <c r="AK35" s="548"/>
      <c r="AL35" s="548"/>
      <c r="AM35" s="548"/>
      <c r="AN35" s="617"/>
    </row>
    <row r="36" spans="1:40" ht="15" hidden="1" customHeight="1" outlineLevel="1" x14ac:dyDescent="0.25">
      <c r="A36" s="109"/>
      <c r="B36" s="333" t="s">
        <v>199</v>
      </c>
      <c r="C36" s="339" t="s">
        <v>16</v>
      </c>
      <c r="D36" s="3" t="s">
        <v>17</v>
      </c>
      <c r="E36" s="3" t="s">
        <v>17</v>
      </c>
      <c r="F36" s="3" t="s">
        <v>17</v>
      </c>
      <c r="G36" s="3" t="s">
        <v>17</v>
      </c>
      <c r="H36" s="3" t="s">
        <v>17</v>
      </c>
      <c r="I36" s="3" t="s">
        <v>17</v>
      </c>
      <c r="J36" s="219" t="s">
        <v>17</v>
      </c>
      <c r="K36" s="3" t="s">
        <v>17</v>
      </c>
      <c r="L36" s="3" t="s">
        <v>17</v>
      </c>
      <c r="M36" s="3" t="s">
        <v>17</v>
      </c>
      <c r="N36" s="3" t="s">
        <v>17</v>
      </c>
      <c r="O36" s="547" t="s">
        <v>17</v>
      </c>
      <c r="P36" s="548"/>
      <c r="Q36" s="549"/>
      <c r="R36" s="218" t="s">
        <v>16</v>
      </c>
      <c r="S36" s="69"/>
      <c r="T36" s="3" t="s">
        <v>17</v>
      </c>
      <c r="U36" s="3" t="s">
        <v>17</v>
      </c>
      <c r="V36" s="69"/>
      <c r="W36" s="3" t="s">
        <v>17</v>
      </c>
      <c r="X36" s="547" t="s">
        <v>17</v>
      </c>
      <c r="Y36" s="549"/>
      <c r="Z36" s="3" t="s">
        <v>17</v>
      </c>
      <c r="AA36" s="3" t="s">
        <v>17</v>
      </c>
      <c r="AB36" s="3"/>
      <c r="AC36" s="3" t="s">
        <v>17</v>
      </c>
      <c r="AD36" s="68"/>
      <c r="AE36" s="69"/>
      <c r="AF36" s="547" t="s">
        <v>17</v>
      </c>
      <c r="AG36" s="548"/>
      <c r="AH36" s="548"/>
      <c r="AI36" s="549"/>
      <c r="AJ36" s="547" t="s">
        <v>17</v>
      </c>
      <c r="AK36" s="548"/>
      <c r="AL36" s="548"/>
      <c r="AM36" s="548"/>
      <c r="AN36" s="617"/>
    </row>
    <row r="37" spans="1:40" ht="15" hidden="1" customHeight="1" outlineLevel="1" x14ac:dyDescent="0.25">
      <c r="A37" s="109"/>
      <c r="B37" s="331" t="s">
        <v>198</v>
      </c>
      <c r="C37" s="357" t="s">
        <v>17</v>
      </c>
      <c r="D37" s="218" t="s">
        <v>16</v>
      </c>
      <c r="E37" s="218" t="s">
        <v>16</v>
      </c>
      <c r="F37" s="218" t="s">
        <v>16</v>
      </c>
      <c r="G37" s="3" t="s">
        <v>17</v>
      </c>
      <c r="H37" s="3" t="s">
        <v>17</v>
      </c>
      <c r="I37" s="3" t="s">
        <v>17</v>
      </c>
      <c r="J37" s="219" t="s">
        <v>17</v>
      </c>
      <c r="K37" s="3" t="s">
        <v>17</v>
      </c>
      <c r="L37" s="3" t="s">
        <v>17</v>
      </c>
      <c r="M37" s="3" t="s">
        <v>17</v>
      </c>
      <c r="N37" s="3" t="s">
        <v>17</v>
      </c>
      <c r="O37" s="547" t="s">
        <v>17</v>
      </c>
      <c r="P37" s="548"/>
      <c r="Q37" s="549"/>
      <c r="R37" s="3" t="s">
        <v>17</v>
      </c>
      <c r="S37" s="69"/>
      <c r="T37" s="3" t="s">
        <v>17</v>
      </c>
      <c r="U37" s="3" t="s">
        <v>17</v>
      </c>
      <c r="V37" s="69"/>
      <c r="W37" s="3" t="s">
        <v>17</v>
      </c>
      <c r="X37" s="547" t="s">
        <v>17</v>
      </c>
      <c r="Y37" s="549"/>
      <c r="Z37" s="218" t="s">
        <v>16</v>
      </c>
      <c r="AA37" s="3" t="s">
        <v>17</v>
      </c>
      <c r="AB37" s="3"/>
      <c r="AC37" s="3" t="s">
        <v>17</v>
      </c>
      <c r="AD37" s="68"/>
      <c r="AE37" s="69"/>
      <c r="AF37" s="547" t="s">
        <v>17</v>
      </c>
      <c r="AG37" s="548"/>
      <c r="AH37" s="548"/>
      <c r="AI37" s="549"/>
      <c r="AJ37" s="547" t="s">
        <v>17</v>
      </c>
      <c r="AK37" s="548"/>
      <c r="AL37" s="548"/>
      <c r="AM37" s="548"/>
      <c r="AN37" s="617"/>
    </row>
    <row r="38" spans="1:40" ht="15" hidden="1" customHeight="1" outlineLevel="1" x14ac:dyDescent="0.25">
      <c r="A38" s="109" t="s">
        <v>200</v>
      </c>
      <c r="B38" s="331"/>
      <c r="C38" s="357" t="s">
        <v>17</v>
      </c>
      <c r="D38" s="3" t="s">
        <v>17</v>
      </c>
      <c r="E38" s="3" t="s">
        <v>17</v>
      </c>
      <c r="F38" s="3" t="s">
        <v>17</v>
      </c>
      <c r="G38" s="3" t="s">
        <v>17</v>
      </c>
      <c r="H38" s="3" t="s">
        <v>17</v>
      </c>
      <c r="I38" s="3" t="s">
        <v>17</v>
      </c>
      <c r="J38" s="219" t="s">
        <v>17</v>
      </c>
      <c r="K38" s="3" t="s">
        <v>17</v>
      </c>
      <c r="L38" s="3" t="s">
        <v>17</v>
      </c>
      <c r="M38" s="3" t="s">
        <v>17</v>
      </c>
      <c r="N38" s="3" t="s">
        <v>17</v>
      </c>
      <c r="O38" s="547" t="s">
        <v>17</v>
      </c>
      <c r="P38" s="548"/>
      <c r="Q38" s="549"/>
      <c r="R38" s="3" t="s">
        <v>17</v>
      </c>
      <c r="S38" s="69"/>
      <c r="T38" s="3" t="s">
        <v>17</v>
      </c>
      <c r="U38" s="3" t="s">
        <v>17</v>
      </c>
      <c r="V38" s="69"/>
      <c r="W38" s="218" t="s">
        <v>16</v>
      </c>
      <c r="X38" s="547" t="s">
        <v>17</v>
      </c>
      <c r="Y38" s="549"/>
      <c r="Z38" s="3" t="s">
        <v>17</v>
      </c>
      <c r="AA38" s="3" t="s">
        <v>17</v>
      </c>
      <c r="AB38" s="3"/>
      <c r="AC38" s="3" t="s">
        <v>17</v>
      </c>
      <c r="AD38" s="68"/>
      <c r="AE38" s="69"/>
      <c r="AF38" s="547" t="s">
        <v>17</v>
      </c>
      <c r="AG38" s="548"/>
      <c r="AH38" s="548"/>
      <c r="AI38" s="549"/>
      <c r="AJ38" s="547" t="s">
        <v>17</v>
      </c>
      <c r="AK38" s="548"/>
      <c r="AL38" s="548"/>
      <c r="AM38" s="548"/>
      <c r="AN38" s="617"/>
    </row>
    <row r="39" spans="1:40" ht="15" hidden="1" customHeight="1" outlineLevel="1" x14ac:dyDescent="0.25">
      <c r="A39" s="109" t="s">
        <v>1</v>
      </c>
      <c r="B39" s="331"/>
      <c r="C39" s="357" t="s">
        <v>17</v>
      </c>
      <c r="D39" s="3" t="s">
        <v>17</v>
      </c>
      <c r="E39" s="3" t="s">
        <v>17</v>
      </c>
      <c r="F39" s="3" t="s">
        <v>17</v>
      </c>
      <c r="G39" s="3" t="s">
        <v>17</v>
      </c>
      <c r="H39" s="3" t="s">
        <v>17</v>
      </c>
      <c r="I39" s="3" t="s">
        <v>17</v>
      </c>
      <c r="J39" s="219" t="s">
        <v>17</v>
      </c>
      <c r="K39" s="3" t="s">
        <v>17</v>
      </c>
      <c r="L39" s="3" t="s">
        <v>17</v>
      </c>
      <c r="M39" s="3" t="s">
        <v>17</v>
      </c>
      <c r="N39" s="3" t="s">
        <v>17</v>
      </c>
      <c r="O39" s="550" t="s">
        <v>16</v>
      </c>
      <c r="P39" s="551"/>
      <c r="Q39" s="552"/>
      <c r="R39" s="3" t="s">
        <v>17</v>
      </c>
      <c r="S39" s="69"/>
      <c r="T39" s="3" t="s">
        <v>17</v>
      </c>
      <c r="U39" s="3" t="s">
        <v>17</v>
      </c>
      <c r="V39" s="69"/>
      <c r="W39" s="3" t="s">
        <v>17</v>
      </c>
      <c r="X39" s="550" t="s">
        <v>16</v>
      </c>
      <c r="Y39" s="552"/>
      <c r="Z39" s="3" t="s">
        <v>17</v>
      </c>
      <c r="AA39" s="3" t="s">
        <v>17</v>
      </c>
      <c r="AB39" s="3"/>
      <c r="AC39" s="3" t="s">
        <v>17</v>
      </c>
      <c r="AD39" s="68"/>
      <c r="AE39" s="69"/>
      <c r="AF39" s="547" t="s">
        <v>17</v>
      </c>
      <c r="AG39" s="548"/>
      <c r="AH39" s="548"/>
      <c r="AI39" s="549"/>
      <c r="AJ39" s="547" t="s">
        <v>17</v>
      </c>
      <c r="AK39" s="548"/>
      <c r="AL39" s="548"/>
      <c r="AM39" s="548"/>
      <c r="AN39" s="617"/>
    </row>
    <row r="40" spans="1:40" ht="15" hidden="1" customHeight="1" outlineLevel="1" x14ac:dyDescent="0.25">
      <c r="A40" s="109" t="s">
        <v>33</v>
      </c>
      <c r="B40" s="331"/>
      <c r="C40" s="357" t="s">
        <v>17</v>
      </c>
      <c r="D40" s="3" t="s">
        <v>17</v>
      </c>
      <c r="E40" s="3" t="s">
        <v>17</v>
      </c>
      <c r="F40" s="3" t="s">
        <v>17</v>
      </c>
      <c r="G40" s="3" t="s">
        <v>17</v>
      </c>
      <c r="H40" s="3" t="s">
        <v>17</v>
      </c>
      <c r="I40" s="3" t="s">
        <v>17</v>
      </c>
      <c r="J40" s="219" t="s">
        <v>17</v>
      </c>
      <c r="K40" s="3" t="s">
        <v>17</v>
      </c>
      <c r="L40" s="3" t="s">
        <v>17</v>
      </c>
      <c r="M40" s="3" t="s">
        <v>17</v>
      </c>
      <c r="N40" s="3" t="s">
        <v>17</v>
      </c>
      <c r="O40" s="547" t="s">
        <v>17</v>
      </c>
      <c r="P40" s="548"/>
      <c r="Q40" s="549"/>
      <c r="R40" s="3" t="s">
        <v>17</v>
      </c>
      <c r="S40" s="69"/>
      <c r="T40" s="3" t="s">
        <v>17</v>
      </c>
      <c r="U40" s="3" t="s">
        <v>17</v>
      </c>
      <c r="V40" s="69"/>
      <c r="W40" s="3" t="s">
        <v>17</v>
      </c>
      <c r="X40" s="547" t="s">
        <v>17</v>
      </c>
      <c r="Y40" s="549"/>
      <c r="Z40" s="218" t="s">
        <v>16</v>
      </c>
      <c r="AA40" s="3" t="s">
        <v>17</v>
      </c>
      <c r="AB40" s="3"/>
      <c r="AC40" s="3" t="s">
        <v>17</v>
      </c>
      <c r="AD40" s="68"/>
      <c r="AE40" s="69"/>
      <c r="AF40" s="547" t="s">
        <v>17</v>
      </c>
      <c r="AG40" s="548"/>
      <c r="AH40" s="548"/>
      <c r="AI40" s="549"/>
      <c r="AJ40" s="547" t="s">
        <v>17</v>
      </c>
      <c r="AK40" s="548"/>
      <c r="AL40" s="548"/>
      <c r="AM40" s="548"/>
      <c r="AN40" s="617"/>
    </row>
    <row r="41" spans="1:40" ht="15" hidden="1" customHeight="1" outlineLevel="1" x14ac:dyDescent="0.25">
      <c r="A41" s="109" t="s">
        <v>3</v>
      </c>
      <c r="B41" s="331"/>
      <c r="C41" s="357" t="s">
        <v>17</v>
      </c>
      <c r="D41" s="3" t="s">
        <v>17</v>
      </c>
      <c r="E41" s="3" t="s">
        <v>17</v>
      </c>
      <c r="F41" s="3" t="s">
        <v>17</v>
      </c>
      <c r="G41" s="3" t="s">
        <v>17</v>
      </c>
      <c r="H41" s="3" t="s">
        <v>17</v>
      </c>
      <c r="I41" s="3" t="s">
        <v>17</v>
      </c>
      <c r="J41" s="219" t="s">
        <v>17</v>
      </c>
      <c r="K41" s="3" t="s">
        <v>17</v>
      </c>
      <c r="L41" s="3" t="s">
        <v>17</v>
      </c>
      <c r="M41" s="3" t="s">
        <v>17</v>
      </c>
      <c r="N41" s="3" t="s">
        <v>17</v>
      </c>
      <c r="O41" s="547" t="s">
        <v>17</v>
      </c>
      <c r="P41" s="548"/>
      <c r="Q41" s="549"/>
      <c r="R41" s="3" t="s">
        <v>17</v>
      </c>
      <c r="S41" s="69"/>
      <c r="T41" s="3" t="s">
        <v>17</v>
      </c>
      <c r="U41" s="3" t="s">
        <v>17</v>
      </c>
      <c r="V41" s="69"/>
      <c r="W41" s="3" t="s">
        <v>17</v>
      </c>
      <c r="X41" s="547" t="s">
        <v>17</v>
      </c>
      <c r="Y41" s="549"/>
      <c r="Z41" s="3" t="s">
        <v>17</v>
      </c>
      <c r="AA41" s="218" t="s">
        <v>16</v>
      </c>
      <c r="AB41" s="218"/>
      <c r="AC41" s="3" t="s">
        <v>17</v>
      </c>
      <c r="AD41" s="68"/>
      <c r="AE41" s="69"/>
      <c r="AF41" s="547" t="s">
        <v>17</v>
      </c>
      <c r="AG41" s="548"/>
      <c r="AH41" s="548"/>
      <c r="AI41" s="549"/>
      <c r="AJ41" s="547" t="s">
        <v>17</v>
      </c>
      <c r="AK41" s="548"/>
      <c r="AL41" s="548"/>
      <c r="AM41" s="548"/>
      <c r="AN41" s="617"/>
    </row>
    <row r="42" spans="1:40" ht="15" hidden="1" customHeight="1" outlineLevel="1" x14ac:dyDescent="0.25">
      <c r="A42" s="109" t="s">
        <v>4</v>
      </c>
      <c r="B42" s="331"/>
      <c r="C42" s="357" t="s">
        <v>17</v>
      </c>
      <c r="D42" s="3" t="s">
        <v>17</v>
      </c>
      <c r="E42" s="3" t="s">
        <v>17</v>
      </c>
      <c r="F42" s="3" t="s">
        <v>17</v>
      </c>
      <c r="G42" s="3" t="s">
        <v>17</v>
      </c>
      <c r="H42" s="3" t="s">
        <v>17</v>
      </c>
      <c r="I42" s="3" t="s">
        <v>17</v>
      </c>
      <c r="J42" s="219" t="s">
        <v>17</v>
      </c>
      <c r="K42" s="3" t="s">
        <v>17</v>
      </c>
      <c r="L42" s="3" t="s">
        <v>17</v>
      </c>
      <c r="M42" s="3" t="s">
        <v>17</v>
      </c>
      <c r="N42" s="3" t="s">
        <v>17</v>
      </c>
      <c r="O42" s="547" t="s">
        <v>17</v>
      </c>
      <c r="P42" s="548"/>
      <c r="Q42" s="549"/>
      <c r="R42" s="3" t="s">
        <v>17</v>
      </c>
      <c r="S42" s="69"/>
      <c r="T42" s="3" t="s">
        <v>17</v>
      </c>
      <c r="U42" s="3" t="s">
        <v>17</v>
      </c>
      <c r="V42" s="69"/>
      <c r="W42" s="3" t="s">
        <v>17</v>
      </c>
      <c r="X42" s="547" t="s">
        <v>17</v>
      </c>
      <c r="Y42" s="549"/>
      <c r="Z42" s="3" t="s">
        <v>17</v>
      </c>
      <c r="AA42" s="3" t="s">
        <v>17</v>
      </c>
      <c r="AB42" s="3"/>
      <c r="AC42" s="218" t="s">
        <v>16</v>
      </c>
      <c r="AD42" s="68"/>
      <c r="AE42" s="69"/>
      <c r="AF42" s="547" t="s">
        <v>17</v>
      </c>
      <c r="AG42" s="548"/>
      <c r="AH42" s="548"/>
      <c r="AI42" s="549"/>
      <c r="AJ42" s="547" t="s">
        <v>17</v>
      </c>
      <c r="AK42" s="548"/>
      <c r="AL42" s="548"/>
      <c r="AM42" s="548"/>
      <c r="AN42" s="617"/>
    </row>
    <row r="43" spans="1:40" ht="15" hidden="1" customHeight="1" outlineLevel="1" x14ac:dyDescent="0.25">
      <c r="A43" s="109" t="s">
        <v>5</v>
      </c>
      <c r="B43" s="331"/>
      <c r="C43" s="357" t="s">
        <v>17</v>
      </c>
      <c r="D43" s="3" t="s">
        <v>17</v>
      </c>
      <c r="E43" s="3" t="s">
        <v>17</v>
      </c>
      <c r="F43" s="3" t="s">
        <v>17</v>
      </c>
      <c r="G43" s="3" t="s">
        <v>17</v>
      </c>
      <c r="H43" s="3" t="s">
        <v>17</v>
      </c>
      <c r="I43" s="3" t="s">
        <v>17</v>
      </c>
      <c r="J43" s="219" t="s">
        <v>17</v>
      </c>
      <c r="K43" s="3" t="s">
        <v>17</v>
      </c>
      <c r="L43" s="3" t="s">
        <v>17</v>
      </c>
      <c r="M43" s="3" t="s">
        <v>17</v>
      </c>
      <c r="N43" s="3" t="s">
        <v>17</v>
      </c>
      <c r="O43" s="547" t="s">
        <v>17</v>
      </c>
      <c r="P43" s="548"/>
      <c r="Q43" s="549"/>
      <c r="R43" s="3" t="s">
        <v>17</v>
      </c>
      <c r="S43" s="69"/>
      <c r="T43" s="3" t="s">
        <v>17</v>
      </c>
      <c r="U43" s="3" t="s">
        <v>17</v>
      </c>
      <c r="V43" s="69"/>
      <c r="W43" s="3" t="s">
        <v>17</v>
      </c>
      <c r="X43" s="547" t="s">
        <v>17</v>
      </c>
      <c r="Y43" s="549"/>
      <c r="Z43" s="3" t="s">
        <v>17</v>
      </c>
      <c r="AA43" s="3" t="s">
        <v>17</v>
      </c>
      <c r="AB43" s="3"/>
      <c r="AC43" s="3" t="s">
        <v>17</v>
      </c>
      <c r="AD43" s="68"/>
      <c r="AE43" s="69"/>
      <c r="AF43" s="550" t="s">
        <v>16</v>
      </c>
      <c r="AG43" s="551"/>
      <c r="AH43" s="551"/>
      <c r="AI43" s="552"/>
      <c r="AJ43" s="547" t="s">
        <v>17</v>
      </c>
      <c r="AK43" s="548"/>
      <c r="AL43" s="548"/>
      <c r="AM43" s="548"/>
      <c r="AN43" s="617"/>
    </row>
    <row r="44" spans="1:40" ht="15.75" hidden="1" customHeight="1" outlineLevel="1" thickBot="1" x14ac:dyDescent="0.3">
      <c r="A44" s="111" t="s">
        <v>82</v>
      </c>
      <c r="B44" s="334"/>
      <c r="C44" s="358" t="s">
        <v>17</v>
      </c>
      <c r="D44" s="112" t="s">
        <v>17</v>
      </c>
      <c r="E44" s="112" t="s">
        <v>17</v>
      </c>
      <c r="F44" s="112" t="s">
        <v>17</v>
      </c>
      <c r="G44" s="112" t="s">
        <v>17</v>
      </c>
      <c r="H44" s="112" t="s">
        <v>17</v>
      </c>
      <c r="I44" s="112" t="s">
        <v>17</v>
      </c>
      <c r="J44" s="225" t="s">
        <v>17</v>
      </c>
      <c r="K44" s="112" t="s">
        <v>17</v>
      </c>
      <c r="L44" s="112" t="s">
        <v>17</v>
      </c>
      <c r="M44" s="112" t="s">
        <v>17</v>
      </c>
      <c r="N44" s="112" t="s">
        <v>17</v>
      </c>
      <c r="O44" s="541" t="s">
        <v>17</v>
      </c>
      <c r="P44" s="542"/>
      <c r="Q44" s="543"/>
      <c r="R44" s="112" t="s">
        <v>17</v>
      </c>
      <c r="S44" s="113"/>
      <c r="T44" s="112" t="s">
        <v>17</v>
      </c>
      <c r="U44" s="112" t="s">
        <v>17</v>
      </c>
      <c r="V44" s="113"/>
      <c r="W44" s="112" t="s">
        <v>17</v>
      </c>
      <c r="X44" s="541" t="s">
        <v>17</v>
      </c>
      <c r="Y44" s="543"/>
      <c r="Z44" s="112" t="s">
        <v>17</v>
      </c>
      <c r="AA44" s="112" t="s">
        <v>17</v>
      </c>
      <c r="AB44" s="112"/>
      <c r="AC44" s="112" t="s">
        <v>17</v>
      </c>
      <c r="AD44" s="114"/>
      <c r="AE44" s="113"/>
      <c r="AF44" s="541" t="s">
        <v>17</v>
      </c>
      <c r="AG44" s="542"/>
      <c r="AH44" s="542"/>
      <c r="AI44" s="543"/>
      <c r="AJ44" s="635" t="s">
        <v>16</v>
      </c>
      <c r="AK44" s="636"/>
      <c r="AL44" s="636"/>
      <c r="AM44" s="636"/>
      <c r="AN44" s="637"/>
    </row>
    <row r="45" spans="1:40" ht="15.75" collapsed="1" thickBot="1" x14ac:dyDescent="0.3">
      <c r="A45" s="127" t="s">
        <v>12</v>
      </c>
      <c r="B45" s="335"/>
      <c r="C45" s="359"/>
      <c r="D45" s="108"/>
      <c r="E45" s="108"/>
      <c r="F45" s="108"/>
      <c r="G45" s="108"/>
      <c r="H45" s="108"/>
      <c r="I45" s="236"/>
      <c r="J45" s="236"/>
      <c r="K45" s="108"/>
      <c r="L45" s="108"/>
      <c r="M45" s="108"/>
      <c r="N45" s="108"/>
      <c r="O45" s="523"/>
      <c r="P45" s="524"/>
      <c r="Q45" s="529"/>
      <c r="R45" s="108"/>
      <c r="S45" s="108"/>
      <c r="T45" s="108"/>
      <c r="U45" s="245"/>
      <c r="V45" s="245"/>
      <c r="W45" s="108"/>
      <c r="X45" s="523"/>
      <c r="Y45" s="529"/>
      <c r="Z45" s="108"/>
      <c r="AA45" s="108"/>
      <c r="AB45" s="544"/>
      <c r="AC45" s="545"/>
      <c r="AD45" s="523"/>
      <c r="AE45" s="529"/>
      <c r="AF45" s="523"/>
      <c r="AG45" s="524"/>
      <c r="AH45" s="524"/>
      <c r="AI45" s="529"/>
      <c r="AJ45" s="523"/>
      <c r="AK45" s="524"/>
      <c r="AL45" s="524"/>
      <c r="AM45" s="524"/>
      <c r="AN45" s="525"/>
    </row>
    <row r="49" spans="1:36" x14ac:dyDescent="0.25">
      <c r="E49" s="410"/>
    </row>
    <row r="50" spans="1:36" x14ac:dyDescent="0.25">
      <c r="A50" s="206" t="s">
        <v>177</v>
      </c>
      <c r="B50" s="206"/>
      <c r="C50" s="205" t="s">
        <v>115</v>
      </c>
      <c r="D50" s="207" t="s">
        <v>116</v>
      </c>
      <c r="X50" s="262"/>
      <c r="Z50" s="262"/>
      <c r="AA50" s="262"/>
      <c r="AB50" s="262"/>
      <c r="AC50" s="262"/>
      <c r="AF50" s="262"/>
      <c r="AG50" s="262"/>
      <c r="AJ50" s="262"/>
    </row>
    <row r="51" spans="1:36" x14ac:dyDescent="0.25">
      <c r="A51" s="29" t="s">
        <v>178</v>
      </c>
      <c r="B51" s="29"/>
      <c r="C51" t="s">
        <v>179</v>
      </c>
      <c r="D51" s="55">
        <v>41543</v>
      </c>
    </row>
    <row r="52" spans="1:36" x14ac:dyDescent="0.25">
      <c r="A52" s="29" t="s">
        <v>181</v>
      </c>
      <c r="B52" s="29"/>
      <c r="C52" t="s">
        <v>180</v>
      </c>
      <c r="D52" s="55">
        <v>1600000</v>
      </c>
      <c r="F52" s="163" t="s">
        <v>241</v>
      </c>
      <c r="G52" s="162" t="s">
        <v>153</v>
      </c>
    </row>
    <row r="53" spans="1:36" x14ac:dyDescent="0.25">
      <c r="C53" t="s">
        <v>182</v>
      </c>
      <c r="D53" s="55">
        <f>D52/D51</f>
        <v>38.514310473485303</v>
      </c>
    </row>
    <row r="54" spans="1:36" x14ac:dyDescent="0.25">
      <c r="A54" s="277" t="s">
        <v>149</v>
      </c>
      <c r="B54" s="277" t="s">
        <v>124</v>
      </c>
      <c r="C54" s="278" t="s">
        <v>125</v>
      </c>
      <c r="D54" s="279">
        <v>31.65</v>
      </c>
      <c r="V54" t="s">
        <v>67</v>
      </c>
    </row>
    <row r="55" spans="1:36" x14ac:dyDescent="0.25">
      <c r="A55" s="280"/>
      <c r="B55" s="280" t="s">
        <v>150</v>
      </c>
      <c r="C55" s="45" t="s">
        <v>152</v>
      </c>
      <c r="D55" s="88">
        <v>5.42</v>
      </c>
      <c r="F55" s="163" t="s">
        <v>241</v>
      </c>
      <c r="G55" s="162" t="s">
        <v>153</v>
      </c>
    </row>
    <row r="56" spans="1:36" x14ac:dyDescent="0.25">
      <c r="A56" s="280"/>
      <c r="B56" s="280" t="s">
        <v>151</v>
      </c>
      <c r="C56" s="45" t="s">
        <v>152</v>
      </c>
      <c r="D56" s="88">
        <v>17.22</v>
      </c>
    </row>
    <row r="57" spans="1:36" x14ac:dyDescent="0.25">
      <c r="A57" s="280"/>
      <c r="B57" s="280" t="s">
        <v>315</v>
      </c>
      <c r="C57" s="45" t="s">
        <v>314</v>
      </c>
      <c r="D57" s="281">
        <v>21.2</v>
      </c>
    </row>
    <row r="58" spans="1:36" x14ac:dyDescent="0.25">
      <c r="A58" s="280"/>
      <c r="B58" s="280" t="s">
        <v>237</v>
      </c>
      <c r="C58" s="45" t="s">
        <v>152</v>
      </c>
      <c r="D58" s="281">
        <v>20</v>
      </c>
    </row>
    <row r="59" spans="1:36" x14ac:dyDescent="0.25">
      <c r="A59" s="280"/>
      <c r="B59" s="280" t="s">
        <v>300</v>
      </c>
      <c r="C59" s="45" t="s">
        <v>152</v>
      </c>
      <c r="D59" s="88">
        <v>30</v>
      </c>
    </row>
    <row r="60" spans="1:36" x14ac:dyDescent="0.25">
      <c r="A60" s="280"/>
      <c r="B60" s="280" t="s">
        <v>313</v>
      </c>
      <c r="C60" s="45" t="s">
        <v>314</v>
      </c>
      <c r="D60" s="88">
        <v>40</v>
      </c>
    </row>
    <row r="61" spans="1:36" x14ac:dyDescent="0.25">
      <c r="A61" s="282"/>
      <c r="B61" s="282" t="s">
        <v>302</v>
      </c>
      <c r="C61" s="283" t="s">
        <v>314</v>
      </c>
      <c r="D61" s="284">
        <v>33</v>
      </c>
    </row>
    <row r="62" spans="1:36" x14ac:dyDescent="0.25">
      <c r="W62" s="104"/>
    </row>
    <row r="65" spans="1:8" x14ac:dyDescent="0.25">
      <c r="A65" s="206" t="s">
        <v>114</v>
      </c>
      <c r="B65" s="206"/>
      <c r="C65" s="205" t="s">
        <v>115</v>
      </c>
      <c r="D65" s="207" t="s">
        <v>116</v>
      </c>
    </row>
    <row r="66" spans="1:8" x14ac:dyDescent="0.25">
      <c r="A66" s="277" t="s">
        <v>197</v>
      </c>
      <c r="B66" s="277" t="s">
        <v>285</v>
      </c>
      <c r="C66" s="278" t="s">
        <v>293</v>
      </c>
      <c r="D66" s="279">
        <v>3.23</v>
      </c>
    </row>
    <row r="67" spans="1:8" x14ac:dyDescent="0.25">
      <c r="A67" s="280"/>
      <c r="B67" s="280" t="s">
        <v>286</v>
      </c>
      <c r="C67" s="280" t="s">
        <v>117</v>
      </c>
      <c r="D67" s="88">
        <v>0.49</v>
      </c>
    </row>
    <row r="68" spans="1:8" x14ac:dyDescent="0.25">
      <c r="A68" s="282"/>
      <c r="B68" s="282" t="s">
        <v>287</v>
      </c>
      <c r="C68" s="282" t="s">
        <v>288</v>
      </c>
      <c r="D68" s="284">
        <v>20</v>
      </c>
      <c r="F68" s="163" t="s">
        <v>241</v>
      </c>
      <c r="G68" s="162" t="s">
        <v>289</v>
      </c>
      <c r="H68" s="208" t="s">
        <v>290</v>
      </c>
    </row>
    <row r="69" spans="1:8" x14ac:dyDescent="0.25">
      <c r="A69" s="29" t="s">
        <v>278</v>
      </c>
      <c r="B69" s="201" t="s">
        <v>279</v>
      </c>
      <c r="C69" s="202" t="s">
        <v>281</v>
      </c>
      <c r="D69" s="35">
        <v>7.4999999999999997E-2</v>
      </c>
    </row>
    <row r="70" spans="1:8" x14ac:dyDescent="0.25">
      <c r="A70" s="29"/>
      <c r="B70" s="201"/>
      <c r="C70" t="s">
        <v>282</v>
      </c>
      <c r="D70" s="203">
        <f>D69*1000/3.6</f>
        <v>20.833333333333332</v>
      </c>
      <c r="F70" s="163" t="s">
        <v>241</v>
      </c>
      <c r="G70" s="162" t="s">
        <v>342</v>
      </c>
      <c r="H70" s="208" t="s">
        <v>341</v>
      </c>
    </row>
    <row r="71" spans="1:8" x14ac:dyDescent="0.25">
      <c r="A71" s="29"/>
      <c r="B71" s="201" t="s">
        <v>280</v>
      </c>
      <c r="C71" t="s">
        <v>292</v>
      </c>
      <c r="D71" s="203">
        <f>0.025*1000</f>
        <v>25</v>
      </c>
    </row>
    <row r="72" spans="1:8" x14ac:dyDescent="0.25">
      <c r="A72" s="29"/>
      <c r="B72" s="29" t="s">
        <v>237</v>
      </c>
      <c r="C72" t="s">
        <v>317</v>
      </c>
      <c r="D72" s="50">
        <f>550</f>
        <v>550</v>
      </c>
    </row>
    <row r="73" spans="1:8" x14ac:dyDescent="0.25">
      <c r="A73" s="29"/>
      <c r="B73" s="29" t="s">
        <v>236</v>
      </c>
      <c r="C73" t="s">
        <v>292</v>
      </c>
      <c r="D73" s="271">
        <f>D75</f>
        <v>58.490566037735853</v>
      </c>
    </row>
    <row r="74" spans="1:8" x14ac:dyDescent="0.25">
      <c r="A74" s="29"/>
      <c r="B74" s="29" t="s">
        <v>283</v>
      </c>
      <c r="C74" t="s">
        <v>293</v>
      </c>
      <c r="D74" s="50">
        <v>1.24</v>
      </c>
    </row>
    <row r="75" spans="1:8" x14ac:dyDescent="0.25">
      <c r="A75" s="29"/>
      <c r="B75" s="29"/>
      <c r="C75" t="s">
        <v>292</v>
      </c>
      <c r="D75" s="273">
        <f>D74/D57*1000</f>
        <v>58.490566037735853</v>
      </c>
    </row>
    <row r="76" spans="1:8" s="45" customFormat="1" x14ac:dyDescent="0.25">
      <c r="A76" s="282" t="s">
        <v>36</v>
      </c>
      <c r="B76" s="282" t="s">
        <v>294</v>
      </c>
      <c r="C76" s="283" t="s">
        <v>291</v>
      </c>
      <c r="D76" s="284">
        <v>52.5</v>
      </c>
    </row>
    <row r="77" spans="1:8" x14ac:dyDescent="0.25">
      <c r="A77" s="29" t="s">
        <v>310</v>
      </c>
      <c r="B77" s="29"/>
      <c r="C77" t="s">
        <v>282</v>
      </c>
      <c r="D77" s="35">
        <v>35.97</v>
      </c>
    </row>
    <row r="78" spans="1:8" x14ac:dyDescent="0.25">
      <c r="A78" s="29" t="s">
        <v>277</v>
      </c>
      <c r="B78" s="29"/>
      <c r="C78" t="s">
        <v>148</v>
      </c>
      <c r="D78" s="35">
        <v>0.64900000000000002</v>
      </c>
    </row>
    <row r="79" spans="1:8" x14ac:dyDescent="0.25">
      <c r="A79" s="29"/>
      <c r="B79" s="29"/>
      <c r="C79" t="s">
        <v>282</v>
      </c>
      <c r="D79" s="204">
        <f>D78*1000/3.6</f>
        <v>180.27777777777777</v>
      </c>
    </row>
    <row r="80" spans="1:8" x14ac:dyDescent="0.25">
      <c r="A80" s="29" t="s">
        <v>300</v>
      </c>
      <c r="B80" s="29"/>
      <c r="C80" t="s">
        <v>311</v>
      </c>
      <c r="D80" s="200">
        <v>2.339</v>
      </c>
    </row>
    <row r="81" spans="1:8" x14ac:dyDescent="0.25">
      <c r="A81" s="29"/>
      <c r="B81" s="29"/>
      <c r="C81" t="s">
        <v>282</v>
      </c>
      <c r="D81" s="204">
        <f>D80/D59*1000</f>
        <v>77.966666666666669</v>
      </c>
    </row>
    <row r="82" spans="1:8" x14ac:dyDescent="0.25">
      <c r="A82" s="29" t="s">
        <v>313</v>
      </c>
      <c r="B82" s="29"/>
      <c r="C82" t="s">
        <v>293</v>
      </c>
      <c r="D82" s="200">
        <v>3.1850000000000001</v>
      </c>
    </row>
    <row r="83" spans="1:8" x14ac:dyDescent="0.25">
      <c r="A83" s="29"/>
      <c r="B83" s="29"/>
      <c r="C83" t="s">
        <v>282</v>
      </c>
      <c r="D83" s="273">
        <f>D82/D60*1000</f>
        <v>79.625</v>
      </c>
    </row>
    <row r="84" spans="1:8" x14ac:dyDescent="0.25">
      <c r="A84" s="29" t="s">
        <v>302</v>
      </c>
      <c r="B84" s="29"/>
      <c r="C84" t="s">
        <v>293</v>
      </c>
      <c r="D84" s="35">
        <v>2.88</v>
      </c>
      <c r="E84" s="59"/>
      <c r="F84" s="163" t="s">
        <v>241</v>
      </c>
      <c r="G84" s="162" t="s">
        <v>326</v>
      </c>
      <c r="H84" s="129" t="s">
        <v>327</v>
      </c>
    </row>
    <row r="85" spans="1:8" x14ac:dyDescent="0.25">
      <c r="A85" s="29"/>
      <c r="B85" s="29"/>
      <c r="C85" t="s">
        <v>282</v>
      </c>
      <c r="D85" s="273">
        <f>D84/D61*1000</f>
        <v>87.272727272727266</v>
      </c>
      <c r="E85" s="165"/>
    </row>
    <row r="86" spans="1:8" x14ac:dyDescent="0.25">
      <c r="A86" s="29" t="s">
        <v>320</v>
      </c>
      <c r="B86" s="29"/>
      <c r="C86" t="s">
        <v>334</v>
      </c>
      <c r="D86" s="309">
        <f>3.381*1000</f>
        <v>3381</v>
      </c>
      <c r="E86" s="165"/>
      <c r="F86" s="163" t="s">
        <v>241</v>
      </c>
      <c r="G86" s="162" t="s">
        <v>338</v>
      </c>
      <c r="H86" s="129" t="s">
        <v>337</v>
      </c>
    </row>
    <row r="87" spans="1:8" x14ac:dyDescent="0.25">
      <c r="A87" s="29" t="s">
        <v>325</v>
      </c>
      <c r="B87" s="29"/>
      <c r="C87" t="s">
        <v>333</v>
      </c>
      <c r="D87" s="309">
        <v>480</v>
      </c>
      <c r="E87" s="165"/>
      <c r="F87" s="163" t="s">
        <v>241</v>
      </c>
      <c r="G87" s="162" t="s">
        <v>336</v>
      </c>
      <c r="H87" s="129" t="s">
        <v>335</v>
      </c>
    </row>
    <row r="88" spans="1:8" x14ac:dyDescent="0.25">
      <c r="A88" s="29" t="s">
        <v>323</v>
      </c>
      <c r="B88" s="29"/>
      <c r="C88" t="s">
        <v>332</v>
      </c>
      <c r="D88" s="309">
        <f>250/2.3</f>
        <v>108.69565217391305</v>
      </c>
      <c r="E88" s="165"/>
    </row>
    <row r="89" spans="1:8" x14ac:dyDescent="0.25">
      <c r="A89" s="29" t="s">
        <v>328</v>
      </c>
      <c r="B89" s="29"/>
      <c r="C89" t="s">
        <v>329</v>
      </c>
      <c r="D89" s="309">
        <v>2500</v>
      </c>
      <c r="E89" s="165"/>
    </row>
    <row r="90" spans="1:8" x14ac:dyDescent="0.25">
      <c r="A90" s="29" t="s">
        <v>330</v>
      </c>
      <c r="B90" s="29"/>
      <c r="C90" t="s">
        <v>331</v>
      </c>
      <c r="D90" s="309">
        <v>1330</v>
      </c>
      <c r="E90" s="165"/>
    </row>
    <row r="91" spans="1:8" x14ac:dyDescent="0.25">
      <c r="A91" s="29" t="s">
        <v>340</v>
      </c>
      <c r="B91" s="29"/>
      <c r="C91" t="s">
        <v>339</v>
      </c>
      <c r="D91" s="309">
        <v>129</v>
      </c>
      <c r="E91" s="165"/>
    </row>
    <row r="92" spans="1:8" x14ac:dyDescent="0.25">
      <c r="A92" s="29" t="s">
        <v>245</v>
      </c>
      <c r="B92" s="29"/>
      <c r="C92" t="s">
        <v>403</v>
      </c>
      <c r="D92" s="200">
        <f>2.2*D77</f>
        <v>79.134</v>
      </c>
      <c r="E92" s="165"/>
    </row>
    <row r="93" spans="1:8" x14ac:dyDescent="0.25">
      <c r="A93" s="206" t="s">
        <v>127</v>
      </c>
      <c r="B93" s="206"/>
      <c r="C93" s="205"/>
      <c r="D93" s="207"/>
      <c r="E93" s="59"/>
    </row>
    <row r="94" spans="1:8" x14ac:dyDescent="0.25">
      <c r="A94" s="29" t="s">
        <v>124</v>
      </c>
      <c r="B94" s="29"/>
      <c r="D94" s="209">
        <v>0.25</v>
      </c>
      <c r="E94" s="59"/>
    </row>
    <row r="95" spans="1:8" x14ac:dyDescent="0.25">
      <c r="A95" s="29" t="s">
        <v>122</v>
      </c>
      <c r="B95" s="29"/>
      <c r="D95" s="210">
        <v>0.1</v>
      </c>
      <c r="E95" s="59"/>
    </row>
    <row r="96" spans="1:8" x14ac:dyDescent="0.25">
      <c r="A96" s="29" t="s">
        <v>119</v>
      </c>
      <c r="B96" s="29"/>
      <c r="D96" s="211">
        <v>0.15</v>
      </c>
      <c r="E96" s="59"/>
    </row>
    <row r="97" spans="1:10" x14ac:dyDescent="0.25">
      <c r="A97" s="29" t="s">
        <v>120</v>
      </c>
      <c r="B97" s="29"/>
      <c r="D97" s="58">
        <v>25</v>
      </c>
      <c r="E97" s="59"/>
    </row>
    <row r="98" spans="1:10" x14ac:dyDescent="0.25">
      <c r="A98" s="29" t="s">
        <v>183</v>
      </c>
      <c r="B98" s="29"/>
      <c r="D98" s="58">
        <v>50</v>
      </c>
      <c r="E98" s="59"/>
    </row>
    <row r="99" spans="1:10" x14ac:dyDescent="0.25">
      <c r="A99" s="29" t="s">
        <v>186</v>
      </c>
      <c r="B99" s="29"/>
      <c r="D99" s="58">
        <v>10</v>
      </c>
      <c r="E99" s="59"/>
      <c r="F99" s="163" t="s">
        <v>241</v>
      </c>
      <c r="G99" s="162" t="s">
        <v>144</v>
      </c>
    </row>
    <row r="100" spans="1:10" x14ac:dyDescent="0.25">
      <c r="A100" s="29" t="s">
        <v>131</v>
      </c>
      <c r="B100" s="29"/>
      <c r="D100" s="58">
        <v>8</v>
      </c>
      <c r="E100" s="59"/>
      <c r="F100" s="163" t="s">
        <v>241</v>
      </c>
      <c r="G100" s="162" t="s">
        <v>195</v>
      </c>
      <c r="H100" s="42"/>
    </row>
    <row r="101" spans="1:10" x14ac:dyDescent="0.25">
      <c r="A101" s="29" t="s">
        <v>185</v>
      </c>
      <c r="D101" s="58">
        <v>10</v>
      </c>
      <c r="E101" s="59"/>
      <c r="F101" s="163"/>
      <c r="G101" s="129"/>
    </row>
    <row r="102" spans="1:10" x14ac:dyDescent="0.25">
      <c r="A102" s="29" t="s">
        <v>194</v>
      </c>
      <c r="B102" s="29"/>
      <c r="C102" s="65"/>
      <c r="D102" s="67">
        <v>7.5</v>
      </c>
      <c r="E102" s="59"/>
      <c r="F102" s="163" t="s">
        <v>241</v>
      </c>
      <c r="G102" s="162" t="s">
        <v>191</v>
      </c>
    </row>
    <row r="103" spans="1:10" x14ac:dyDescent="0.25">
      <c r="A103" s="29" t="s">
        <v>184</v>
      </c>
      <c r="B103" s="29"/>
      <c r="D103" s="57">
        <v>5</v>
      </c>
      <c r="E103" s="59"/>
      <c r="F103" s="163"/>
      <c r="G103" s="129"/>
    </row>
    <row r="104" spans="1:10" x14ac:dyDescent="0.25">
      <c r="A104" s="29" t="s">
        <v>224</v>
      </c>
      <c r="B104" s="29" t="s">
        <v>13</v>
      </c>
      <c r="C104" s="36">
        <v>200</v>
      </c>
      <c r="D104" s="57">
        <f>((4.18/1000*1000*('Data - samenstelling'!E18-10%)*(C104-10))+(2256*('Data - samenstelling'!E18-10%)))/D$54*D$94</f>
        <v>12.046603475513429</v>
      </c>
      <c r="E104" s="59"/>
    </row>
    <row r="105" spans="1:10" x14ac:dyDescent="0.25">
      <c r="A105" s="29"/>
      <c r="B105" s="29" t="s">
        <v>14</v>
      </c>
      <c r="C105" s="36">
        <v>200</v>
      </c>
      <c r="D105" s="57">
        <f>((4.18/1000*1000*('Data - samenstelling'!E19-10%)*(C105-10))+(2256*('Data - samenstelling'!E19-10%)))/D$54*D$94</f>
        <v>11.564739336492892</v>
      </c>
      <c r="E105" s="59"/>
    </row>
    <row r="106" spans="1:10" x14ac:dyDescent="0.25">
      <c r="A106" s="29"/>
      <c r="B106" s="29" t="s">
        <v>189</v>
      </c>
      <c r="C106" s="36">
        <v>200</v>
      </c>
      <c r="D106" s="57">
        <f>((4.18/1000*1000*('Data - samenstelling'!E20-10%)*(C106-10))+(2256*('Data - samenstelling'!E20-10%)))/D$54*D$94</f>
        <v>19.997361769352292</v>
      </c>
      <c r="E106" s="59"/>
    </row>
    <row r="107" spans="1:10" x14ac:dyDescent="0.25">
      <c r="A107" s="29"/>
      <c r="B107" s="29" t="s">
        <v>190</v>
      </c>
      <c r="C107" s="36">
        <v>200</v>
      </c>
      <c r="D107" s="57">
        <f>((4.18/1000*1000*('Data - samenstelling'!E21-10%)*(C107-10))+(2256*('Data - samenstelling'!E21-10%)))/D$54*D$94</f>
        <v>11.805671406003164</v>
      </c>
      <c r="E107" s="59"/>
    </row>
    <row r="108" spans="1:10" x14ac:dyDescent="0.25">
      <c r="A108" s="29" t="s">
        <v>210</v>
      </c>
      <c r="D108" s="57">
        <v>10</v>
      </c>
      <c r="E108" s="59"/>
      <c r="F108" s="38" t="s">
        <v>13</v>
      </c>
      <c r="G108">
        <v>100</v>
      </c>
      <c r="H108" t="s">
        <v>246</v>
      </c>
      <c r="I108" t="s">
        <v>250</v>
      </c>
      <c r="J108" t="s">
        <v>251</v>
      </c>
    </row>
    <row r="109" spans="1:10" x14ac:dyDescent="0.25">
      <c r="A109" s="634" t="s">
        <v>130</v>
      </c>
      <c r="B109" s="29" t="s">
        <v>247</v>
      </c>
      <c r="D109" s="184">
        <f ca="1">B110*'Data - samenstelling'!K22*'Data - samenstelling'!H22*'Data - samenstelling'!S22</f>
        <v>60.536017336511335</v>
      </c>
      <c r="E109" s="59"/>
      <c r="F109" s="37" t="s">
        <v>247</v>
      </c>
      <c r="G109">
        <v>27</v>
      </c>
      <c r="I109" s="136">
        <f>135</f>
        <v>135</v>
      </c>
      <c r="J109" s="180">
        <f>I109*G$108/G109</f>
        <v>500</v>
      </c>
    </row>
    <row r="110" spans="1:10" outlineLevel="1" x14ac:dyDescent="0.25">
      <c r="A110" s="634"/>
      <c r="B110" s="181">
        <v>500</v>
      </c>
      <c r="C110" s="182" t="s">
        <v>252</v>
      </c>
      <c r="D110" s="184"/>
      <c r="E110" s="59"/>
      <c r="F110" s="37"/>
      <c r="I110" s="136"/>
      <c r="J110" s="180"/>
    </row>
    <row r="111" spans="1:10" x14ac:dyDescent="0.25">
      <c r="A111" s="634"/>
      <c r="B111" s="29" t="s">
        <v>244</v>
      </c>
      <c r="D111" s="184">
        <f ca="1">B112*'Data - samenstelling'!K22*'Data - samenstelling'!H22*'Data - samenstelling'!T22*0.5</f>
        <v>107.19700021163801</v>
      </c>
      <c r="E111" s="164"/>
      <c r="F111" s="37" t="s">
        <v>248</v>
      </c>
      <c r="G111">
        <v>7.5</v>
      </c>
      <c r="I111" s="136">
        <v>45</v>
      </c>
      <c r="J111" s="180">
        <f t="shared" ref="J111:J114" si="8">I111*G$108/G111</f>
        <v>600</v>
      </c>
    </row>
    <row r="112" spans="1:10" outlineLevel="1" x14ac:dyDescent="0.25">
      <c r="A112" s="634"/>
      <c r="B112" s="181">
        <v>3000</v>
      </c>
      <c r="C112" s="146" t="s">
        <v>253</v>
      </c>
      <c r="D112" s="66"/>
      <c r="E112" s="59"/>
      <c r="F112" s="37"/>
      <c r="I112" s="136"/>
      <c r="J112" s="180"/>
    </row>
    <row r="113" spans="1:10" x14ac:dyDescent="0.25">
      <c r="A113" s="634"/>
      <c r="B113" s="29" t="s">
        <v>202</v>
      </c>
      <c r="D113" s="66">
        <v>150</v>
      </c>
      <c r="E113" s="59"/>
      <c r="F113" s="37" t="s">
        <v>217</v>
      </c>
      <c r="G113">
        <v>0.03</v>
      </c>
      <c r="I113" s="136">
        <v>46</v>
      </c>
      <c r="J113" s="180">
        <f t="shared" si="8"/>
        <v>153333.33333333334</v>
      </c>
    </row>
    <row r="114" spans="1:10" x14ac:dyDescent="0.25">
      <c r="A114" s="29" t="s">
        <v>1</v>
      </c>
      <c r="D114" s="169">
        <f ca="1">('Data - samenstelling'!N22)/(7500*3600)*1000*1000*(C116)</f>
        <v>11.366302444444445</v>
      </c>
      <c r="E114" s="59"/>
      <c r="F114" s="37" t="s">
        <v>249</v>
      </c>
      <c r="G114">
        <v>65</v>
      </c>
      <c r="I114" s="136">
        <v>50</v>
      </c>
      <c r="J114" s="180">
        <f t="shared" si="8"/>
        <v>76.92307692307692</v>
      </c>
    </row>
    <row r="115" spans="1:10" outlineLevel="1" x14ac:dyDescent="0.25">
      <c r="A115" s="29"/>
      <c r="B115" s="167" t="s">
        <v>242</v>
      </c>
      <c r="C115" s="168">
        <v>994</v>
      </c>
      <c r="D115" s="105"/>
      <c r="E115" s="59"/>
      <c r="F115" s="37"/>
    </row>
    <row r="116" spans="1:10" outlineLevel="1" x14ac:dyDescent="0.25">
      <c r="A116" s="29"/>
      <c r="B116" s="167" t="s">
        <v>243</v>
      </c>
      <c r="C116" s="168">
        <v>57</v>
      </c>
      <c r="D116" s="105"/>
      <c r="E116" s="171"/>
      <c r="F116" s="37"/>
    </row>
    <row r="117" spans="1:10" x14ac:dyDescent="0.25">
      <c r="A117" s="29" t="s">
        <v>33</v>
      </c>
      <c r="D117" s="66">
        <f ca="1">(C173)/(7500*3600)*1000*1000*C119</f>
        <v>12.444307386473429</v>
      </c>
      <c r="E117" s="171"/>
    </row>
    <row r="118" spans="1:10" outlineLevel="1" x14ac:dyDescent="0.25">
      <c r="A118" s="29"/>
      <c r="B118" s="167" t="s">
        <v>242</v>
      </c>
      <c r="C118" s="168">
        <v>580</v>
      </c>
      <c r="D118" s="66"/>
      <c r="E118" s="171"/>
    </row>
    <row r="119" spans="1:10" outlineLevel="1" x14ac:dyDescent="0.25">
      <c r="A119" s="29"/>
      <c r="B119" s="167" t="s">
        <v>243</v>
      </c>
      <c r="C119" s="168">
        <v>62</v>
      </c>
      <c r="D119" s="66"/>
      <c r="E119" s="171"/>
    </row>
    <row r="120" spans="1:10" x14ac:dyDescent="0.25">
      <c r="A120" s="29" t="s">
        <v>3</v>
      </c>
      <c r="D120" s="175">
        <f ca="1">(C175)/(7500*3600)*1000*1000*C122</f>
        <v>31.999647565217398</v>
      </c>
      <c r="E120" s="59"/>
    </row>
    <row r="121" spans="1:10" outlineLevel="1" x14ac:dyDescent="0.25">
      <c r="A121" s="29"/>
      <c r="B121" s="167" t="s">
        <v>242</v>
      </c>
      <c r="C121" s="168">
        <v>580</v>
      </c>
      <c r="D121" s="140"/>
      <c r="E121" s="59"/>
    </row>
    <row r="122" spans="1:10" outlineLevel="1" x14ac:dyDescent="0.25">
      <c r="A122" s="29"/>
      <c r="B122" s="167" t="s">
        <v>243</v>
      </c>
      <c r="C122" s="168">
        <v>62</v>
      </c>
      <c r="D122" s="140"/>
      <c r="E122" s="59"/>
      <c r="F122" s="172"/>
    </row>
    <row r="123" spans="1:10" x14ac:dyDescent="0.25">
      <c r="A123" s="29" t="s">
        <v>4</v>
      </c>
      <c r="D123" s="175">
        <f ca="1">(C177+C178)/(7500*3600)*1000*1000*C125</f>
        <v>97.662006816425119</v>
      </c>
      <c r="E123" s="59"/>
      <c r="H123" s="172"/>
    </row>
    <row r="124" spans="1:10" outlineLevel="1" x14ac:dyDescent="0.25">
      <c r="A124" s="29"/>
      <c r="B124" s="167" t="s">
        <v>242</v>
      </c>
      <c r="C124" s="168">
        <v>5248</v>
      </c>
      <c r="D124" s="166"/>
      <c r="E124" s="59"/>
    </row>
    <row r="125" spans="1:10" outlineLevel="1" x14ac:dyDescent="0.25">
      <c r="A125" s="29"/>
      <c r="B125" s="167" t="s">
        <v>243</v>
      </c>
      <c r="C125" s="168">
        <v>262</v>
      </c>
      <c r="D125" s="166"/>
      <c r="E125" s="59"/>
    </row>
    <row r="126" spans="1:10" x14ac:dyDescent="0.25">
      <c r="A126" s="29" t="s">
        <v>5</v>
      </c>
      <c r="D126" s="175">
        <f ca="1">(C181+C180+C182+C183)/(7500*3600)*1000*1000*C128</f>
        <v>135.2243171304348</v>
      </c>
      <c r="E126" s="59"/>
    </row>
    <row r="127" spans="1:10" hidden="1" outlineLevel="1" x14ac:dyDescent="0.25">
      <c r="A127" s="29"/>
      <c r="B127" s="173" t="s">
        <v>242</v>
      </c>
      <c r="C127" s="174">
        <v>5248</v>
      </c>
      <c r="D127" s="140"/>
      <c r="E127" s="28"/>
    </row>
    <row r="128" spans="1:10" hidden="1" outlineLevel="1" x14ac:dyDescent="0.25">
      <c r="A128" s="29"/>
      <c r="B128" s="173" t="s">
        <v>243</v>
      </c>
      <c r="C128" s="174">
        <v>262</v>
      </c>
      <c r="D128" s="140"/>
    </row>
    <row r="129" spans="1:6" collapsed="1" x14ac:dyDescent="0.25">
      <c r="A129" s="29" t="s">
        <v>82</v>
      </c>
      <c r="D129" s="175">
        <f ca="1">(C187+C186+C188)/(7500*3600)*1000*1000*C131</f>
        <v>135.2243171304348</v>
      </c>
    </row>
    <row r="130" spans="1:6" hidden="1" outlineLevel="1" x14ac:dyDescent="0.25">
      <c r="A130" s="29"/>
      <c r="B130" s="173" t="s">
        <v>242</v>
      </c>
      <c r="C130" s="174">
        <v>5248</v>
      </c>
      <c r="D130" s="56"/>
    </row>
    <row r="131" spans="1:6" hidden="1" outlineLevel="1" x14ac:dyDescent="0.25">
      <c r="A131" s="29"/>
      <c r="B131" s="173" t="s">
        <v>243</v>
      </c>
      <c r="C131" s="174">
        <v>262</v>
      </c>
      <c r="D131" s="28"/>
    </row>
    <row r="132" spans="1:6" collapsed="1" x14ac:dyDescent="0.25">
      <c r="A132" s="29"/>
      <c r="D132" s="70"/>
    </row>
    <row r="133" spans="1:6" x14ac:dyDescent="0.25">
      <c r="A133" s="29"/>
      <c r="D133" s="198"/>
    </row>
    <row r="134" spans="1:6" x14ac:dyDescent="0.25">
      <c r="A134" s="29"/>
      <c r="D134" s="198"/>
    </row>
    <row r="135" spans="1:6" x14ac:dyDescent="0.25">
      <c r="A135" s="29"/>
      <c r="D135" s="70"/>
    </row>
    <row r="136" spans="1:6" x14ac:dyDescent="0.25">
      <c r="A136" s="206" t="s">
        <v>211</v>
      </c>
      <c r="B136" s="206"/>
      <c r="C136" s="205"/>
      <c r="D136" s="207"/>
    </row>
    <row r="137" spans="1:6" x14ac:dyDescent="0.25">
      <c r="A137" s="29" t="s">
        <v>163</v>
      </c>
      <c r="C137" s="144">
        <v>1000</v>
      </c>
      <c r="F137" s="129" t="s">
        <v>213</v>
      </c>
    </row>
    <row r="138" spans="1:6" x14ac:dyDescent="0.25">
      <c r="A138" s="29" t="s">
        <v>162</v>
      </c>
      <c r="C138" s="144">
        <v>750</v>
      </c>
      <c r="F138" s="129" t="s">
        <v>219</v>
      </c>
    </row>
    <row r="139" spans="1:6" x14ac:dyDescent="0.25">
      <c r="A139" s="299" t="s">
        <v>225</v>
      </c>
      <c r="B139" s="300"/>
      <c r="C139" s="301">
        <v>150</v>
      </c>
      <c r="F139" s="141"/>
    </row>
    <row r="140" spans="1:6" x14ac:dyDescent="0.25">
      <c r="A140" s="29" t="s">
        <v>212</v>
      </c>
      <c r="C140" s="144">
        <v>77</v>
      </c>
    </row>
    <row r="141" spans="1:6" x14ac:dyDescent="0.25">
      <c r="A141" s="29" t="s">
        <v>222</v>
      </c>
      <c r="C141" s="144">
        <v>300</v>
      </c>
    </row>
    <row r="142" spans="1:6" ht="26.25" x14ac:dyDescent="0.25">
      <c r="A142" s="137" t="s">
        <v>220</v>
      </c>
      <c r="C142" s="145">
        <v>3400</v>
      </c>
    </row>
    <row r="143" spans="1:6" x14ac:dyDescent="0.25">
      <c r="A143" s="137" t="s">
        <v>245</v>
      </c>
      <c r="C143" s="144">
        <v>200</v>
      </c>
    </row>
    <row r="144" spans="1:6" x14ac:dyDescent="0.25">
      <c r="A144" s="137" t="s">
        <v>237</v>
      </c>
      <c r="C144" s="213">
        <v>15</v>
      </c>
      <c r="D144" s="138"/>
    </row>
    <row r="145" spans="1:7" x14ac:dyDescent="0.25">
      <c r="A145" s="137" t="s">
        <v>56</v>
      </c>
      <c r="C145" s="147">
        <v>3</v>
      </c>
      <c r="D145" s="138"/>
      <c r="F145" s="129" t="s">
        <v>227</v>
      </c>
    </row>
    <row r="146" spans="1:7" x14ac:dyDescent="0.25">
      <c r="A146" s="137" t="s">
        <v>122</v>
      </c>
      <c r="C146" s="147">
        <v>6</v>
      </c>
      <c r="D146" s="258">
        <f>C146/1000*3.6</f>
        <v>2.1600000000000001E-2</v>
      </c>
    </row>
    <row r="147" spans="1:7" x14ac:dyDescent="0.25">
      <c r="A147" s="137" t="s">
        <v>226</v>
      </c>
      <c r="C147" s="147">
        <v>8</v>
      </c>
      <c r="D147" s="138"/>
    </row>
    <row r="148" spans="1:7" x14ac:dyDescent="0.25">
      <c r="A148" s="137" t="s">
        <v>295</v>
      </c>
    </row>
    <row r="149" spans="1:7" x14ac:dyDescent="0.25">
      <c r="A149" s="267" t="s">
        <v>305</v>
      </c>
      <c r="C149" s="147">
        <f>D149*1000/3.6</f>
        <v>18.055555555555554</v>
      </c>
      <c r="D149" s="268">
        <v>6.5000000000000002E-2</v>
      </c>
    </row>
    <row r="150" spans="1:7" x14ac:dyDescent="0.25">
      <c r="A150" s="267" t="s">
        <v>3</v>
      </c>
      <c r="C150" s="147">
        <f t="shared" ref="C150:C152" si="9">D150*1000/3.6</f>
        <v>16.666666666666668</v>
      </c>
      <c r="D150" s="268">
        <v>0.06</v>
      </c>
    </row>
    <row r="151" spans="1:7" x14ac:dyDescent="0.25">
      <c r="A151" s="267" t="s">
        <v>304</v>
      </c>
      <c r="C151" s="147">
        <f t="shared" si="9"/>
        <v>4.166666666666667</v>
      </c>
      <c r="D151" s="268">
        <v>1.4999999999999999E-2</v>
      </c>
    </row>
    <row r="152" spans="1:7" ht="30" x14ac:dyDescent="0.25">
      <c r="A152" s="267" t="s">
        <v>306</v>
      </c>
      <c r="C152" s="147">
        <f t="shared" si="9"/>
        <v>4.166666666666667</v>
      </c>
      <c r="D152" s="268">
        <v>1.4999999999999999E-2</v>
      </c>
    </row>
    <row r="155" spans="1:7" x14ac:dyDescent="0.25">
      <c r="A155" s="205" t="s">
        <v>121</v>
      </c>
      <c r="B155" s="205" t="s">
        <v>275</v>
      </c>
      <c r="F155" s="163"/>
    </row>
    <row r="156" spans="1:7" x14ac:dyDescent="0.25">
      <c r="A156" s="32" t="s">
        <v>274</v>
      </c>
      <c r="B156" s="212">
        <v>50</v>
      </c>
      <c r="F156" s="163"/>
      <c r="G156" s="162"/>
    </row>
    <row r="157" spans="1:7" x14ac:dyDescent="0.25">
      <c r="A157" s="32" t="s">
        <v>44</v>
      </c>
      <c r="B157" s="212">
        <v>25</v>
      </c>
      <c r="F157" s="163" t="s">
        <v>241</v>
      </c>
      <c r="G157" s="162" t="s">
        <v>272</v>
      </c>
    </row>
    <row r="158" spans="1:7" x14ac:dyDescent="0.25">
      <c r="A158" s="32" t="s">
        <v>202</v>
      </c>
      <c r="B158" s="212">
        <v>100</v>
      </c>
      <c r="G158" s="162"/>
    </row>
    <row r="159" spans="1:7" x14ac:dyDescent="0.25">
      <c r="A159" s="32"/>
      <c r="B159" s="149"/>
      <c r="C159" s="200"/>
      <c r="D159" s="212"/>
      <c r="G159" s="162"/>
    </row>
    <row r="160" spans="1:7" x14ac:dyDescent="0.25">
      <c r="A160" s="32"/>
      <c r="B160" s="149"/>
      <c r="C160" s="200"/>
      <c r="D160" s="212"/>
      <c r="G160" s="162"/>
    </row>
    <row r="161" spans="1:8" x14ac:dyDescent="0.25">
      <c r="A161" s="205" t="s">
        <v>39</v>
      </c>
      <c r="B161" s="205"/>
      <c r="C161" s="205" t="s">
        <v>276</v>
      </c>
      <c r="F161" s="162"/>
    </row>
    <row r="162" spans="1:8" x14ac:dyDescent="0.25">
      <c r="A162" s="33" t="s">
        <v>273</v>
      </c>
      <c r="B162" s="150"/>
      <c r="C162" s="71"/>
      <c r="D162" s="40"/>
    </row>
    <row r="163" spans="1:8" x14ac:dyDescent="0.25">
      <c r="A163" s="303" t="s">
        <v>255</v>
      </c>
      <c r="B163" s="304">
        <v>0.4</v>
      </c>
      <c r="C163" s="88"/>
      <c r="D163" s="40"/>
    </row>
    <row r="164" spans="1:8" x14ac:dyDescent="0.25">
      <c r="A164" s="305" t="s">
        <v>254</v>
      </c>
      <c r="B164" s="304">
        <v>0.6</v>
      </c>
      <c r="C164" s="88"/>
      <c r="D164" s="40"/>
    </row>
    <row r="165" spans="1:8" x14ac:dyDescent="0.25">
      <c r="A165" s="306" t="s">
        <v>284</v>
      </c>
      <c r="B165" s="304">
        <v>0.1</v>
      </c>
      <c r="C165" s="88"/>
      <c r="D165" s="40"/>
    </row>
    <row r="166" spans="1:8" x14ac:dyDescent="0.25">
      <c r="A166" s="307"/>
      <c r="B166" s="308"/>
      <c r="C166" s="284"/>
      <c r="D166" s="40"/>
    </row>
    <row r="167" spans="1:8" x14ac:dyDescent="0.25">
      <c r="A167" s="30" t="s">
        <v>240</v>
      </c>
      <c r="B167" s="159">
        <v>170</v>
      </c>
      <c r="C167" s="71"/>
      <c r="H167" s="39"/>
    </row>
    <row r="168" spans="1:8" x14ac:dyDescent="0.25">
      <c r="A168" s="30" t="s">
        <v>30</v>
      </c>
      <c r="B168" s="160">
        <v>19</v>
      </c>
      <c r="H168" s="39"/>
    </row>
    <row r="169" spans="1:8" x14ac:dyDescent="0.25">
      <c r="A169" s="153" t="s">
        <v>238</v>
      </c>
      <c r="B169" s="152">
        <f>0.9*B164</f>
        <v>0.54</v>
      </c>
      <c r="C169" s="161">
        <f>B168*B167/1000*B169</f>
        <v>1.7442000000000002</v>
      </c>
      <c r="D169" s="448"/>
      <c r="H169" s="39"/>
    </row>
    <row r="170" spans="1:8" x14ac:dyDescent="0.25">
      <c r="A170" s="153" t="s">
        <v>239</v>
      </c>
      <c r="B170" s="154">
        <f>0.9*B163</f>
        <v>0.36000000000000004</v>
      </c>
      <c r="C170" s="302">
        <f>B168*B167/1000*B170</f>
        <v>1.1628000000000001</v>
      </c>
      <c r="D170" s="161"/>
      <c r="H170" s="39"/>
    </row>
    <row r="171" spans="1:8" x14ac:dyDescent="0.25">
      <c r="A171" s="30" t="s">
        <v>234</v>
      </c>
      <c r="B171" s="151"/>
      <c r="C171" s="71"/>
      <c r="H171" s="39"/>
    </row>
    <row r="172" spans="1:8" x14ac:dyDescent="0.25">
      <c r="A172" s="30" t="s">
        <v>235</v>
      </c>
      <c r="B172" s="152"/>
      <c r="C172" s="71"/>
      <c r="H172" s="39"/>
    </row>
    <row r="173" spans="1:8" x14ac:dyDescent="0.25">
      <c r="A173" s="153" t="s">
        <v>34</v>
      </c>
      <c r="B173" s="152">
        <v>0.35</v>
      </c>
      <c r="C173" s="157">
        <f ca="1">'Data - samenstelling'!P22*1000/1000*B173</f>
        <v>5.4192951521739126</v>
      </c>
      <c r="D173" s="161">
        <f>C169*1000/3.6</f>
        <v>484.50000000000006</v>
      </c>
      <c r="H173" s="39"/>
    </row>
    <row r="174" spans="1:8" x14ac:dyDescent="0.25">
      <c r="A174" s="30" t="s">
        <v>230</v>
      </c>
      <c r="H174" s="39"/>
    </row>
    <row r="175" spans="1:8" x14ac:dyDescent="0.25">
      <c r="A175" s="153" t="s">
        <v>56</v>
      </c>
      <c r="B175" s="152">
        <v>0.9</v>
      </c>
      <c r="C175" s="157">
        <f ca="1">'Data - samenstelling'!P22*1000/1000*B175</f>
        <v>13.935330391304348</v>
      </c>
      <c r="D175" s="161"/>
      <c r="H175" s="39"/>
    </row>
    <row r="176" spans="1:8" x14ac:dyDescent="0.25">
      <c r="A176" s="30" t="s">
        <v>231</v>
      </c>
      <c r="B176" s="155"/>
      <c r="C176" s="157"/>
      <c r="F176" s="163" t="s">
        <v>241</v>
      </c>
      <c r="G176" s="42" t="s">
        <v>316</v>
      </c>
      <c r="H176" s="39"/>
    </row>
    <row r="177" spans="1:8" x14ac:dyDescent="0.25">
      <c r="A177" s="153" t="s">
        <v>238</v>
      </c>
      <c r="B177" s="152">
        <f>65%*B164</f>
        <v>0.39</v>
      </c>
      <c r="C177" s="157">
        <f ca="1">'Data - samenstelling'!P22*1000/1000*B177</f>
        <v>6.0386431695652174</v>
      </c>
      <c r="D177" s="161"/>
      <c r="H177" s="39"/>
    </row>
    <row r="178" spans="1:8" x14ac:dyDescent="0.25">
      <c r="A178" s="153" t="s">
        <v>239</v>
      </c>
      <c r="B178" s="154">
        <f>65%*B163</f>
        <v>0.26</v>
      </c>
      <c r="C178" s="157">
        <f ca="1">'Data - samenstelling'!P22*1000/1000*B178</f>
        <v>4.0257621130434789</v>
      </c>
      <c r="D178" s="161"/>
      <c r="G178" s="39"/>
    </row>
    <row r="179" spans="1:8" x14ac:dyDescent="0.25">
      <c r="A179" s="30" t="s">
        <v>232</v>
      </c>
      <c r="B179" s="152"/>
      <c r="C179" s="29"/>
      <c r="G179" s="39"/>
    </row>
    <row r="180" spans="1:8" x14ac:dyDescent="0.25">
      <c r="A180" s="153" t="s">
        <v>236</v>
      </c>
      <c r="B180" s="152">
        <v>0.55000000000000004</v>
      </c>
      <c r="C180" s="157">
        <f ca="1">'Data - samenstelling'!P22*1000/1000*B180</f>
        <v>8.516035239130435</v>
      </c>
      <c r="D180" s="161"/>
      <c r="G180" s="39"/>
    </row>
    <row r="181" spans="1:8" x14ac:dyDescent="0.25">
      <c r="A181" s="153" t="s">
        <v>238</v>
      </c>
      <c r="B181" s="152">
        <f>25%*B164</f>
        <v>0.15</v>
      </c>
      <c r="C181" s="157">
        <f ca="1">'Data - samenstelling'!P22*1000/1000*B181</f>
        <v>2.3225550652173914</v>
      </c>
      <c r="D181" s="161"/>
      <c r="G181" s="39"/>
    </row>
    <row r="182" spans="1:8" x14ac:dyDescent="0.25">
      <c r="A182" s="153" t="s">
        <v>239</v>
      </c>
      <c r="B182" s="154">
        <f>25%*B163</f>
        <v>0.1</v>
      </c>
      <c r="C182" s="157">
        <f ca="1">'Data - samenstelling'!P22*1000/1000*B182</f>
        <v>1.548370043478261</v>
      </c>
      <c r="D182" s="161"/>
      <c r="G182" s="39"/>
    </row>
    <row r="183" spans="1:8" x14ac:dyDescent="0.25">
      <c r="A183" s="633" t="s">
        <v>237</v>
      </c>
      <c r="B183" s="152">
        <f>0.9-B180-25%</f>
        <v>9.9999999999999978E-2</v>
      </c>
      <c r="C183" s="157">
        <f ca="1">'Data - samenstelling'!P22*1000/1000*B182</f>
        <v>1.548370043478261</v>
      </c>
      <c r="D183" s="161"/>
      <c r="G183" s="39"/>
    </row>
    <row r="184" spans="1:8" x14ac:dyDescent="0.25">
      <c r="A184" s="633"/>
      <c r="B184" s="156"/>
      <c r="C184" s="158">
        <f ca="1">C183/D58</f>
        <v>7.7418502173913051E-2</v>
      </c>
      <c r="D184" s="161"/>
      <c r="G184" s="39"/>
    </row>
    <row r="185" spans="1:8" x14ac:dyDescent="0.25">
      <c r="A185" s="30" t="s">
        <v>233</v>
      </c>
      <c r="B185" s="151"/>
      <c r="C185" s="29"/>
      <c r="G185" s="39"/>
    </row>
    <row r="186" spans="1:8" x14ac:dyDescent="0.25">
      <c r="A186" s="153" t="s">
        <v>238</v>
      </c>
      <c r="B186" s="152">
        <f>20%*B164</f>
        <v>0.12</v>
      </c>
      <c r="C186" s="157">
        <f ca="1">'Data - samenstelling'!P22*1000/1000*B186</f>
        <v>1.858044052173913</v>
      </c>
      <c r="D186" s="161"/>
    </row>
    <row r="187" spans="1:8" x14ac:dyDescent="0.25">
      <c r="A187" s="153" t="s">
        <v>239</v>
      </c>
      <c r="B187" s="154">
        <f>20%*B163</f>
        <v>8.0000000000000016E-2</v>
      </c>
      <c r="C187" s="157">
        <f ca="1">'Data - samenstelling'!P22*1000/1000*B187</f>
        <v>1.238696034782609</v>
      </c>
      <c r="D187" s="161"/>
    </row>
    <row r="188" spans="1:8" x14ac:dyDescent="0.25">
      <c r="A188" s="633" t="s">
        <v>237</v>
      </c>
      <c r="B188" s="152">
        <f>0.9-20%</f>
        <v>0.7</v>
      </c>
      <c r="C188" s="157">
        <f ca="1">'Data - samenstelling'!P22*1000/1000*B188</f>
        <v>10.838590304347825</v>
      </c>
      <c r="D188" s="161"/>
    </row>
    <row r="189" spans="1:8" x14ac:dyDescent="0.25">
      <c r="A189" s="633"/>
      <c r="B189" s="156"/>
      <c r="C189" s="158">
        <f ca="1">C188/D58</f>
        <v>0.5419295152173913</v>
      </c>
      <c r="D189" s="161"/>
    </row>
    <row r="192" spans="1:8" x14ac:dyDescent="0.25">
      <c r="A192" t="s">
        <v>404</v>
      </c>
      <c r="C192" s="157">
        <f>2.2*500/0.7/1000</f>
        <v>1.5714285714285716</v>
      </c>
    </row>
  </sheetData>
  <mergeCells count="229">
    <mergeCell ref="B1:D1"/>
    <mergeCell ref="A7:A10"/>
    <mergeCell ref="AF20:AI20"/>
    <mergeCell ref="AJ20:AN20"/>
    <mergeCell ref="A183:A184"/>
    <mergeCell ref="A188:A189"/>
    <mergeCell ref="AF23:AI23"/>
    <mergeCell ref="AJ23:AN23"/>
    <mergeCell ref="X23:Y23"/>
    <mergeCell ref="AF10:AI10"/>
    <mergeCell ref="AL8:AM8"/>
    <mergeCell ref="AL9:AM9"/>
    <mergeCell ref="AF5:AI5"/>
    <mergeCell ref="A109:A113"/>
    <mergeCell ref="X30:Y30"/>
    <mergeCell ref="AF30:AI30"/>
    <mergeCell ref="AJ30:AN30"/>
    <mergeCell ref="X27:Y27"/>
    <mergeCell ref="AF27:AI27"/>
    <mergeCell ref="AJ27:AN27"/>
    <mergeCell ref="X29:Y29"/>
    <mergeCell ref="AF29:AI29"/>
    <mergeCell ref="AF43:AI43"/>
    <mergeCell ref="AJ44:AN44"/>
    <mergeCell ref="AJ43:AN43"/>
    <mergeCell ref="AJ42:AN42"/>
    <mergeCell ref="AJ41:AN41"/>
    <mergeCell ref="AJ40:AN40"/>
    <mergeCell ref="AJ39:AN39"/>
    <mergeCell ref="AJ37:AN37"/>
    <mergeCell ref="AJ36:AN36"/>
    <mergeCell ref="AJ35:AN35"/>
    <mergeCell ref="AF40:AI40"/>
    <mergeCell ref="AF39:AI39"/>
    <mergeCell ref="AF38:AI38"/>
    <mergeCell ref="AF37:AI37"/>
    <mergeCell ref="AF36:AI36"/>
    <mergeCell ref="AF35:AI35"/>
    <mergeCell ref="AD9:AE9"/>
    <mergeCell ref="AD8:AE8"/>
    <mergeCell ref="AD10:AE10"/>
    <mergeCell ref="AD13:AE13"/>
    <mergeCell ref="AJ38:AN38"/>
    <mergeCell ref="X21:Y21"/>
    <mergeCell ref="AF21:AI21"/>
    <mergeCell ref="AD17:AE17"/>
    <mergeCell ref="AF17:AI17"/>
    <mergeCell ref="AF14:AI14"/>
    <mergeCell ref="AF34:AI34"/>
    <mergeCell ref="AJ34:AN34"/>
    <mergeCell ref="AJ33:AN33"/>
    <mergeCell ref="AJ32:AN32"/>
    <mergeCell ref="AJ29:AN29"/>
    <mergeCell ref="AL18:AM18"/>
    <mergeCell ref="AJ31:AN31"/>
    <mergeCell ref="AD14:AE14"/>
    <mergeCell ref="AJ26:AN26"/>
    <mergeCell ref="AJ15:AN15"/>
    <mergeCell ref="AF15:AI15"/>
    <mergeCell ref="AL14:AM14"/>
    <mergeCell ref="AJ16:AN16"/>
    <mergeCell ref="AJ24:AN24"/>
    <mergeCell ref="X45:Y45"/>
    <mergeCell ref="X9:Y9"/>
    <mergeCell ref="X10:Y10"/>
    <mergeCell ref="X14:Y14"/>
    <mergeCell ref="X17:Y17"/>
    <mergeCell ref="X13:Y13"/>
    <mergeCell ref="X15:Y15"/>
    <mergeCell ref="X31:Y31"/>
    <mergeCell ref="X28:Y28"/>
    <mergeCell ref="X38:Y38"/>
    <mergeCell ref="X39:Y39"/>
    <mergeCell ref="X40:Y40"/>
    <mergeCell ref="X41:Y41"/>
    <mergeCell ref="X42:Y42"/>
    <mergeCell ref="X43:Y43"/>
    <mergeCell ref="X44:Y44"/>
    <mergeCell ref="X35:Y35"/>
    <mergeCell ref="X36:Y36"/>
    <mergeCell ref="X37:Y37"/>
    <mergeCell ref="X34:Y34"/>
    <mergeCell ref="X22:Y22"/>
    <mergeCell ref="X32:Y32"/>
    <mergeCell ref="X33:Y33"/>
    <mergeCell ref="X20:Y20"/>
    <mergeCell ref="A15:A19"/>
    <mergeCell ref="AB3:AC3"/>
    <mergeCell ref="AJ28:AN28"/>
    <mergeCell ref="AF9:AI9"/>
    <mergeCell ref="AL10:AM10"/>
    <mergeCell ref="AJ9:AK9"/>
    <mergeCell ref="AF13:AI13"/>
    <mergeCell ref="AF12:AI12"/>
    <mergeCell ref="AJ14:AK14"/>
    <mergeCell ref="AF11:AK11"/>
    <mergeCell ref="AF28:AI28"/>
    <mergeCell ref="F11:L11"/>
    <mergeCell ref="AD12:AE12"/>
    <mergeCell ref="X12:Y12"/>
    <mergeCell ref="AJ13:AN13"/>
    <mergeCell ref="X6:Y6"/>
    <mergeCell ref="X7:Y7"/>
    <mergeCell ref="X8:Y8"/>
    <mergeCell ref="AJ7:AK7"/>
    <mergeCell ref="AJ6:AK6"/>
    <mergeCell ref="AJ8:AK8"/>
    <mergeCell ref="AF8:AI8"/>
    <mergeCell ref="AF7:AI7"/>
    <mergeCell ref="AF6:AI6"/>
    <mergeCell ref="A2:B3"/>
    <mergeCell ref="I4:J4"/>
    <mergeCell ref="AF3:AI3"/>
    <mergeCell ref="F4:G4"/>
    <mergeCell ref="D3:F3"/>
    <mergeCell ref="G3:N3"/>
    <mergeCell ref="O3:R3"/>
    <mergeCell ref="C2:T2"/>
    <mergeCell ref="C4:D4"/>
    <mergeCell ref="AD3:AE3"/>
    <mergeCell ref="K4:M4"/>
    <mergeCell ref="X3:Y3"/>
    <mergeCell ref="U2:X2"/>
    <mergeCell ref="Y2:AN2"/>
    <mergeCell ref="T3:U3"/>
    <mergeCell ref="AJ3:AN3"/>
    <mergeCell ref="J5:K5"/>
    <mergeCell ref="H5:I5"/>
    <mergeCell ref="AD5:AE5"/>
    <mergeCell ref="X5:Y5"/>
    <mergeCell ref="AD7:AE7"/>
    <mergeCell ref="AD6:AE6"/>
    <mergeCell ref="AL6:AM6"/>
    <mergeCell ref="AL7:AM7"/>
    <mergeCell ref="AJ4:AL4"/>
    <mergeCell ref="AG4:AH4"/>
    <mergeCell ref="AM4:AN4"/>
    <mergeCell ref="AJ5:AK5"/>
    <mergeCell ref="AL5:AM5"/>
    <mergeCell ref="AB6:AC6"/>
    <mergeCell ref="AB7:AC7"/>
    <mergeCell ref="AJ25:AN25"/>
    <mergeCell ref="AJ17:AN17"/>
    <mergeCell ref="AJ12:AN12"/>
    <mergeCell ref="AJ10:AK10"/>
    <mergeCell ref="AL11:AM11"/>
    <mergeCell ref="O23:Q23"/>
    <mergeCell ref="O45:Q45"/>
    <mergeCell ref="N11:Y11"/>
    <mergeCell ref="AD21:AE21"/>
    <mergeCell ref="AF22:AI22"/>
    <mergeCell ref="AF42:AI42"/>
    <mergeCell ref="O22:Q22"/>
    <mergeCell ref="O27:Q27"/>
    <mergeCell ref="O28:Q28"/>
    <mergeCell ref="O25:Q25"/>
    <mergeCell ref="X25:Y25"/>
    <mergeCell ref="O29:Q29"/>
    <mergeCell ref="O30:Q30"/>
    <mergeCell ref="O31:Q31"/>
    <mergeCell ref="O32:Q32"/>
    <mergeCell ref="AF33:AI33"/>
    <mergeCell ref="AF32:AI32"/>
    <mergeCell ref="AF16:AI16"/>
    <mergeCell ref="AF31:AI31"/>
    <mergeCell ref="X24:Y24"/>
    <mergeCell ref="AF24:AI24"/>
    <mergeCell ref="AF41:AI41"/>
    <mergeCell ref="O42:Q42"/>
    <mergeCell ref="O43:Q43"/>
    <mergeCell ref="O44:Q44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24:Q24"/>
    <mergeCell ref="AB8:AC8"/>
    <mergeCell ref="AB9:AC9"/>
    <mergeCell ref="AB10:AC10"/>
    <mergeCell ref="AD25:AE25"/>
    <mergeCell ref="AF25:AI25"/>
    <mergeCell ref="AA11:AC11"/>
    <mergeCell ref="AJ45:AN45"/>
    <mergeCell ref="AD24:AE24"/>
    <mergeCell ref="AJ18:AK18"/>
    <mergeCell ref="AD45:AE45"/>
    <mergeCell ref="AF45:AI45"/>
    <mergeCell ref="AJ19:AK19"/>
    <mergeCell ref="AL19:AM19"/>
    <mergeCell ref="AB25:AC25"/>
    <mergeCell ref="AB24:AC24"/>
    <mergeCell ref="AB23:AC23"/>
    <mergeCell ref="AB21:AC21"/>
    <mergeCell ref="AB20:AC20"/>
    <mergeCell ref="AJ22:AN22"/>
    <mergeCell ref="AJ21:AN21"/>
    <mergeCell ref="AD11:AE11"/>
    <mergeCell ref="AD15:AE15"/>
    <mergeCell ref="AF44:AI44"/>
    <mergeCell ref="AB45:AC45"/>
    <mergeCell ref="O21:Q21"/>
    <mergeCell ref="O20:Q20"/>
    <mergeCell ref="O5:Q5"/>
    <mergeCell ref="O6:Q6"/>
    <mergeCell ref="X16:Y16"/>
    <mergeCell ref="P4:Q4"/>
    <mergeCell ref="O16:Q16"/>
    <mergeCell ref="AB17:AC17"/>
    <mergeCell ref="AB16:AC16"/>
    <mergeCell ref="AB15:AC15"/>
    <mergeCell ref="AB14:AC14"/>
    <mergeCell ref="AB13:AC13"/>
    <mergeCell ref="AB12:AC12"/>
    <mergeCell ref="O7:Q7"/>
    <mergeCell ref="O8:Q8"/>
    <mergeCell ref="O9:Q9"/>
    <mergeCell ref="O10:Q10"/>
    <mergeCell ref="O12:Q12"/>
    <mergeCell ref="O13:Q13"/>
    <mergeCell ref="O14:Q14"/>
    <mergeCell ref="O17:Q17"/>
    <mergeCell ref="O15:Q15"/>
    <mergeCell ref="AB4:AC4"/>
    <mergeCell ref="AB5:AC5"/>
  </mergeCells>
  <conditionalFormatting sqref="O23:Q23">
    <cfRule type="colorScale" priority="4">
      <colorScale>
        <cfvo type="num" val="0"/>
        <cfvo type="num" val="0"/>
        <color rgb="FFFF0000"/>
        <color theme="9" tint="0.39997558519241921"/>
      </colorScale>
    </cfRule>
    <cfRule type="colorScale" priority="5">
      <colorScale>
        <cfvo type="min"/>
        <cfvo type="max"/>
        <color rgb="FFFF0000"/>
        <color theme="9" tint="0.39997558519241921"/>
      </colorScale>
    </cfRule>
    <cfRule type="colorScale" priority="6">
      <colorScale>
        <cfvo type="num" val="0"/>
        <cfvo type="num" val="0"/>
        <color rgb="FFFF7128"/>
        <color rgb="FFFFEF9C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16:AN16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num" val="0"/>
        <cfvo type="max"/>
        <color rgb="FFFF0000"/>
        <color rgb="FF92D050"/>
      </colorScale>
    </cfRule>
  </conditionalFormatting>
  <conditionalFormatting sqref="C23:N23 AD23:AN23 R23:AB23">
    <cfRule type="colorScale" priority="21">
      <colorScale>
        <cfvo type="num" val="0"/>
        <cfvo type="num" val="0"/>
        <color rgb="FFFF0000"/>
        <color theme="9" tint="0.39997558519241921"/>
      </colorScale>
    </cfRule>
    <cfRule type="colorScale" priority="22">
      <colorScale>
        <cfvo type="min"/>
        <cfvo type="max"/>
        <color rgb="FFFF0000"/>
        <color theme="9" tint="0.39997558519241921"/>
      </colorScale>
    </cfRule>
    <cfRule type="colorScale" priority="23">
      <colorScale>
        <cfvo type="num" val="0"/>
        <cfvo type="num" val="0"/>
        <color rgb="FFFF7128"/>
        <color rgb="FFFFEF9C"/>
      </colorScale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H6" r:id="rId1"/>
    <hyperlink ref="T6" r:id="rId2"/>
    <hyperlink ref="L6" r:id="rId3"/>
    <hyperlink ref="D6" r:id="rId4"/>
    <hyperlink ref="C6" r:id="rId5"/>
    <hyperlink ref="M6" r:id="rId6"/>
    <hyperlink ref="S6" r:id="rId7"/>
    <hyperlink ref="V6" r:id="rId8"/>
    <hyperlink ref="J6" r:id="rId9"/>
    <hyperlink ref="AJ6" r:id="rId10"/>
    <hyperlink ref="AL6" r:id="rId11"/>
    <hyperlink ref="N6" r:id="rId12"/>
    <hyperlink ref="AD6" r:id="rId13"/>
    <hyperlink ref="R6" r:id="rId14"/>
    <hyperlink ref="X6" r:id="rId15" display="https://www.rvo.nl/sites/default/files/2014/04/Definitief_Een%20studie%20naar%20kansen%20voor%20grasvergisting.pdf"/>
    <hyperlink ref="Z6" r:id="rId16" display="https://www.ecn.nl/publications/PdfFetch.aspx?nr=ECN-L--13-038"/>
    <hyperlink ref="AN6" r:id="rId17"/>
    <hyperlink ref="U6" r:id="rId18"/>
    <hyperlink ref="G99" r:id="rId19"/>
    <hyperlink ref="G55" r:id="rId20" location="verge%20grass"/>
    <hyperlink ref="G52" r:id="rId21" location="verge%20grass"/>
    <hyperlink ref="G102" r:id="rId22"/>
    <hyperlink ref="G100" r:id="rId23"/>
    <hyperlink ref="O6" r:id="rId24"/>
    <hyperlink ref="G157" r:id="rId25"/>
    <hyperlink ref="G68" r:id="rId26"/>
    <hyperlink ref="G176" r:id="rId27"/>
    <hyperlink ref="G84" r:id="rId28"/>
  </hyperlinks>
  <pageMargins left="0.7" right="0.7" top="0.75" bottom="0.75" header="0.3" footer="0.3"/>
  <pageSetup paperSize="9" orientation="portrait" r:id="rId29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06"/>
  <sheetViews>
    <sheetView tabSelected="1" topLeftCell="O1" zoomScaleNormal="100" workbookViewId="0">
      <selection activeCell="A19" sqref="A19"/>
    </sheetView>
  </sheetViews>
  <sheetFormatPr defaultRowHeight="15" x14ac:dyDescent="0.25"/>
  <cols>
    <col min="1" max="1" width="53.140625" style="466" customWidth="1"/>
    <col min="2" max="30" width="16.5703125" customWidth="1"/>
  </cols>
  <sheetData>
    <row r="1" spans="1:30" ht="23.25" x14ac:dyDescent="0.25">
      <c r="A1" s="459"/>
      <c r="B1" s="664"/>
      <c r="C1" s="664"/>
    </row>
    <row r="2" spans="1:30" ht="15" customHeight="1" x14ac:dyDescent="0.25">
      <c r="A2" s="663" t="s">
        <v>38</v>
      </c>
      <c r="B2" s="657" t="s">
        <v>0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9"/>
      <c r="Q2" s="454" t="s">
        <v>176</v>
      </c>
      <c r="R2" s="455" t="s">
        <v>190</v>
      </c>
      <c r="S2" s="660" t="s">
        <v>406</v>
      </c>
      <c r="T2" s="661"/>
      <c r="U2" s="662"/>
      <c r="V2" s="655" t="s">
        <v>123</v>
      </c>
      <c r="W2" s="655"/>
      <c r="X2" s="655"/>
      <c r="Y2" s="655"/>
      <c r="Z2" s="655"/>
      <c r="AA2" s="655"/>
      <c r="AB2" s="655"/>
      <c r="AC2" s="655"/>
      <c r="AD2" s="655"/>
    </row>
    <row r="3" spans="1:30" x14ac:dyDescent="0.25">
      <c r="A3" s="663"/>
      <c r="B3" s="183" t="s">
        <v>43</v>
      </c>
      <c r="C3" s="597" t="s">
        <v>142</v>
      </c>
      <c r="D3" s="597"/>
      <c r="E3" s="597"/>
      <c r="F3" s="597" t="s">
        <v>44</v>
      </c>
      <c r="G3" s="597"/>
      <c r="H3" s="597"/>
      <c r="I3" s="597"/>
      <c r="J3" s="597"/>
      <c r="K3" s="597"/>
      <c r="L3" s="597"/>
      <c r="M3" s="597"/>
      <c r="N3" s="584" t="s">
        <v>104</v>
      </c>
      <c r="O3" s="585"/>
      <c r="P3" s="586"/>
      <c r="Q3" s="456"/>
      <c r="R3" s="456"/>
      <c r="S3" s="402" t="s">
        <v>405</v>
      </c>
      <c r="T3" s="183" t="s">
        <v>6</v>
      </c>
      <c r="U3" s="656" t="s">
        <v>1</v>
      </c>
      <c r="V3" s="656"/>
      <c r="W3" s="143" t="s">
        <v>33</v>
      </c>
      <c r="X3" s="143" t="s">
        <v>3</v>
      </c>
      <c r="Y3" s="143" t="s">
        <v>4</v>
      </c>
      <c r="Z3" s="656" t="s">
        <v>5</v>
      </c>
      <c r="AA3" s="656"/>
      <c r="AB3" s="656"/>
      <c r="AC3" s="656" t="s">
        <v>82</v>
      </c>
      <c r="AD3" s="656"/>
    </row>
    <row r="4" spans="1:30" x14ac:dyDescent="0.25">
      <c r="A4" s="460" t="s">
        <v>39</v>
      </c>
      <c r="B4" s="665" t="s">
        <v>21</v>
      </c>
      <c r="C4" s="665"/>
      <c r="D4" s="16" t="s">
        <v>57</v>
      </c>
      <c r="E4" s="665" t="s">
        <v>138</v>
      </c>
      <c r="F4" s="665"/>
      <c r="G4" s="6" t="s">
        <v>201</v>
      </c>
      <c r="H4" s="665" t="s">
        <v>7</v>
      </c>
      <c r="I4" s="665"/>
      <c r="J4" s="665" t="s">
        <v>47</v>
      </c>
      <c r="K4" s="665"/>
      <c r="L4" s="665"/>
      <c r="M4" s="6" t="s">
        <v>92</v>
      </c>
      <c r="N4" s="142" t="s">
        <v>21</v>
      </c>
      <c r="O4" s="197" t="s">
        <v>30</v>
      </c>
      <c r="P4" s="188" t="s">
        <v>105</v>
      </c>
      <c r="Q4" s="6" t="s">
        <v>9</v>
      </c>
      <c r="R4" s="189" t="s">
        <v>2</v>
      </c>
      <c r="S4" s="189" t="s">
        <v>406</v>
      </c>
      <c r="T4" s="22" t="s">
        <v>36</v>
      </c>
      <c r="U4" s="20" t="s">
        <v>32</v>
      </c>
      <c r="V4" s="5" t="s">
        <v>30</v>
      </c>
      <c r="W4" s="5" t="s">
        <v>34</v>
      </c>
      <c r="X4" s="5" t="s">
        <v>56</v>
      </c>
      <c r="Y4" s="5" t="s">
        <v>31</v>
      </c>
      <c r="Z4" s="191" t="s">
        <v>81</v>
      </c>
      <c r="AA4" s="192" t="s">
        <v>29</v>
      </c>
      <c r="AB4" s="192" t="s">
        <v>31</v>
      </c>
      <c r="AC4" s="20" t="s">
        <v>81</v>
      </c>
      <c r="AD4" s="190" t="s">
        <v>31</v>
      </c>
    </row>
    <row r="5" spans="1:30" x14ac:dyDescent="0.25">
      <c r="A5" s="460" t="s">
        <v>40</v>
      </c>
      <c r="B5" s="27" t="s">
        <v>41</v>
      </c>
      <c r="C5" s="27" t="s">
        <v>42</v>
      </c>
      <c r="D5" s="8" t="s">
        <v>454</v>
      </c>
      <c r="E5" s="27" t="s">
        <v>140</v>
      </c>
      <c r="F5" s="27" t="s">
        <v>137</v>
      </c>
      <c r="G5" s="667" t="s">
        <v>35</v>
      </c>
      <c r="H5" s="667"/>
      <c r="I5" s="667" t="s">
        <v>45</v>
      </c>
      <c r="J5" s="667"/>
      <c r="K5" s="27" t="s">
        <v>46</v>
      </c>
      <c r="L5" s="27" t="s">
        <v>48</v>
      </c>
      <c r="M5" s="27" t="s">
        <v>93</v>
      </c>
      <c r="N5" s="482" t="s">
        <v>271</v>
      </c>
      <c r="O5" s="484"/>
      <c r="P5" s="27" t="s">
        <v>107</v>
      </c>
      <c r="Q5" s="27" t="s">
        <v>49</v>
      </c>
      <c r="R5" s="8" t="s">
        <v>109</v>
      </c>
      <c r="S5" s="403" t="s">
        <v>55</v>
      </c>
      <c r="T5" s="27" t="s">
        <v>55</v>
      </c>
      <c r="U5" s="653" t="s">
        <v>55</v>
      </c>
      <c r="V5" s="653"/>
      <c r="W5" s="8" t="s">
        <v>113</v>
      </c>
      <c r="X5" s="8" t="s">
        <v>55</v>
      </c>
      <c r="Y5" s="8" t="s">
        <v>55</v>
      </c>
      <c r="Z5" s="653" t="s">
        <v>69</v>
      </c>
      <c r="AA5" s="653"/>
      <c r="AB5" s="653"/>
      <c r="AC5" s="517" t="s">
        <v>263</v>
      </c>
      <c r="AD5" s="518"/>
    </row>
    <row r="6" spans="1:30" ht="45" x14ac:dyDescent="0.25">
      <c r="A6" s="460" t="str">
        <f>A33</f>
        <v>Wat is de inzetbaarheid van deze technologie qua diversiteit aan soorten maaisel (bijv. gras, riet, waterplanten, …)?</v>
      </c>
      <c r="B6" s="422">
        <f>Score_2</f>
        <v>3</v>
      </c>
      <c r="C6" s="422">
        <f>Score_2</f>
        <v>3</v>
      </c>
      <c r="D6" s="424">
        <f>Score_1</f>
        <v>1</v>
      </c>
      <c r="E6" s="423">
        <f>Score_2</f>
        <v>3</v>
      </c>
      <c r="F6" s="423">
        <f>Score_2</f>
        <v>3</v>
      </c>
      <c r="G6" s="423">
        <f>Score_2</f>
        <v>3</v>
      </c>
      <c r="H6" s="423">
        <f>Score_2</f>
        <v>3</v>
      </c>
      <c r="I6" s="423">
        <f>Score_3</f>
        <v>6</v>
      </c>
      <c r="J6" s="423">
        <f>Score_3</f>
        <v>6</v>
      </c>
      <c r="K6" s="423">
        <f>Score_2</f>
        <v>3</v>
      </c>
      <c r="L6" s="423">
        <f>Score_1</f>
        <v>1</v>
      </c>
      <c r="M6" s="423">
        <f>Score_2</f>
        <v>3</v>
      </c>
      <c r="N6" s="640">
        <f>Score_1</f>
        <v>1</v>
      </c>
      <c r="O6" s="640"/>
      <c r="P6" s="423">
        <f>Score_2</f>
        <v>3</v>
      </c>
      <c r="Q6" s="421">
        <f>Score_1</f>
        <v>1</v>
      </c>
      <c r="R6" s="421">
        <f>Score_1</f>
        <v>1</v>
      </c>
      <c r="S6" s="421">
        <f>Score_4</f>
        <v>9</v>
      </c>
      <c r="T6" s="423">
        <f>Score_4</f>
        <v>9</v>
      </c>
      <c r="U6" s="640">
        <f>Score_3</f>
        <v>6</v>
      </c>
      <c r="V6" s="640"/>
      <c r="W6" s="423">
        <f>Score_2</f>
        <v>3</v>
      </c>
      <c r="X6" s="423">
        <f>Score_2</f>
        <v>3</v>
      </c>
      <c r="Y6" s="423">
        <f>Score_2</f>
        <v>3</v>
      </c>
      <c r="Z6" s="654">
        <f>Score_2</f>
        <v>3</v>
      </c>
      <c r="AA6" s="654"/>
      <c r="AB6" s="654"/>
      <c r="AC6" s="640">
        <f>Score_2</f>
        <v>3</v>
      </c>
      <c r="AD6" s="640"/>
    </row>
    <row r="7" spans="1:30" ht="45" x14ac:dyDescent="0.25">
      <c r="A7" s="460" t="str">
        <f t="shared" ref="A7:A16" si="0">A34</f>
        <v>Wat is de minimale verwachte schaalgrootte in ton nat per jaar om de technologie economisch exploitabel te maken?</v>
      </c>
      <c r="B7" s="422">
        <f>Score_2</f>
        <v>3</v>
      </c>
      <c r="C7" s="422">
        <f>Score_2</f>
        <v>3</v>
      </c>
      <c r="D7" s="422">
        <f>Score_2</f>
        <v>3</v>
      </c>
      <c r="E7" s="423">
        <f>Score_2</f>
        <v>3</v>
      </c>
      <c r="F7" s="423">
        <f>Score_2</f>
        <v>3</v>
      </c>
      <c r="G7" s="421">
        <f>Score_2</f>
        <v>3</v>
      </c>
      <c r="H7" s="423">
        <f>Score_4</f>
        <v>9</v>
      </c>
      <c r="I7" s="423">
        <f>Score_3</f>
        <v>6</v>
      </c>
      <c r="J7" s="423">
        <f>Score_2</f>
        <v>3</v>
      </c>
      <c r="K7" s="423">
        <f>Score_1</f>
        <v>1</v>
      </c>
      <c r="L7" s="423">
        <f>Score_1</f>
        <v>1</v>
      </c>
      <c r="M7" s="421">
        <f>Score_1</f>
        <v>1</v>
      </c>
      <c r="N7" s="640">
        <f>Score_4</f>
        <v>9</v>
      </c>
      <c r="O7" s="640"/>
      <c r="P7" s="421">
        <f>Score_2</f>
        <v>3</v>
      </c>
      <c r="Q7" s="421">
        <f>Score_1</f>
        <v>1</v>
      </c>
      <c r="R7" s="421">
        <f>Score_1</f>
        <v>1</v>
      </c>
      <c r="S7" s="421">
        <f>Score_4</f>
        <v>9</v>
      </c>
      <c r="T7" s="423">
        <f>Score_4</f>
        <v>9</v>
      </c>
      <c r="U7" s="640">
        <f>Score_4</f>
        <v>9</v>
      </c>
      <c r="V7" s="640"/>
      <c r="W7" s="423">
        <f>Score_4</f>
        <v>9</v>
      </c>
      <c r="X7" s="423">
        <f>Score_4</f>
        <v>9</v>
      </c>
      <c r="Y7" s="423">
        <f>Score_4</f>
        <v>9</v>
      </c>
      <c r="Z7" s="647">
        <f>Score_4</f>
        <v>9</v>
      </c>
      <c r="AA7" s="647"/>
      <c r="AB7" s="647"/>
      <c r="AC7" s="640">
        <f>Score_4</f>
        <v>9</v>
      </c>
      <c r="AD7" s="640"/>
    </row>
    <row r="8" spans="1:30" ht="18.75" x14ac:dyDescent="0.25">
      <c r="A8" s="460" t="str">
        <f t="shared" si="0"/>
        <v>Is de technologie flexibel of modulair uit te rollen?</v>
      </c>
      <c r="B8" s="422">
        <f>Score_4</f>
        <v>9</v>
      </c>
      <c r="C8" s="422">
        <f>Score_4</f>
        <v>9</v>
      </c>
      <c r="D8" s="422">
        <f>Score_3</f>
        <v>6</v>
      </c>
      <c r="E8" s="422">
        <f>Score_3</f>
        <v>6</v>
      </c>
      <c r="F8" s="422">
        <f>Score_3</f>
        <v>6</v>
      </c>
      <c r="G8" s="422">
        <f>Score_3</f>
        <v>6</v>
      </c>
      <c r="H8" s="422">
        <f>Score_3</f>
        <v>6</v>
      </c>
      <c r="I8" s="422">
        <f>Score_3</f>
        <v>6</v>
      </c>
      <c r="J8" s="422">
        <f>Score_3</f>
        <v>6</v>
      </c>
      <c r="K8" s="422">
        <f>Score_3</f>
        <v>6</v>
      </c>
      <c r="L8" s="422">
        <f>Score_3</f>
        <v>6</v>
      </c>
      <c r="M8" s="422">
        <f>Score_3</f>
        <v>6</v>
      </c>
      <c r="N8" s="457">
        <f>Score_4</f>
        <v>9</v>
      </c>
      <c r="O8" s="457">
        <f>Score_4</f>
        <v>9</v>
      </c>
      <c r="P8" s="457">
        <f>Score_3</f>
        <v>6</v>
      </c>
      <c r="Q8" s="457">
        <f>Score_3</f>
        <v>6</v>
      </c>
      <c r="R8" s="457">
        <f>Score_3</f>
        <v>6</v>
      </c>
      <c r="S8" s="457">
        <f>Score_3</f>
        <v>6</v>
      </c>
      <c r="T8" s="457">
        <f>Score_4</f>
        <v>9</v>
      </c>
      <c r="U8" s="457">
        <f>Score_4</f>
        <v>9</v>
      </c>
      <c r="V8" s="457">
        <f>Score_4</f>
        <v>9</v>
      </c>
      <c r="W8" s="457">
        <f>Score_2</f>
        <v>3</v>
      </c>
      <c r="X8" s="457">
        <f t="shared" ref="X8:AD8" si="1">Score_3</f>
        <v>6</v>
      </c>
      <c r="Y8" s="457">
        <f t="shared" si="1"/>
        <v>6</v>
      </c>
      <c r="Z8" s="457">
        <f t="shared" si="1"/>
        <v>6</v>
      </c>
      <c r="AA8" s="457">
        <f t="shared" si="1"/>
        <v>6</v>
      </c>
      <c r="AB8" s="457">
        <f t="shared" si="1"/>
        <v>6</v>
      </c>
      <c r="AC8" s="457">
        <f t="shared" si="1"/>
        <v>6</v>
      </c>
      <c r="AD8" s="457">
        <f t="shared" si="1"/>
        <v>6</v>
      </c>
    </row>
    <row r="9" spans="1:30" ht="30" x14ac:dyDescent="0.25">
      <c r="A9" s="460" t="str">
        <f t="shared" si="0"/>
        <v>Draagt een project met deze technologie bij aan het thema "Samenwerken in directe regio"?</v>
      </c>
      <c r="B9" s="422">
        <f>Score_4</f>
        <v>9</v>
      </c>
      <c r="C9" s="422">
        <f>Score_4</f>
        <v>9</v>
      </c>
      <c r="D9" s="422">
        <f t="shared" ref="D9:M9" si="2">Score_1</f>
        <v>1</v>
      </c>
      <c r="E9" s="422">
        <f t="shared" si="2"/>
        <v>1</v>
      </c>
      <c r="F9" s="422">
        <f t="shared" si="2"/>
        <v>1</v>
      </c>
      <c r="G9" s="422">
        <f t="shared" si="2"/>
        <v>1</v>
      </c>
      <c r="H9" s="422">
        <f t="shared" si="2"/>
        <v>1</v>
      </c>
      <c r="I9" s="422">
        <f t="shared" si="2"/>
        <v>1</v>
      </c>
      <c r="J9" s="422">
        <f t="shared" si="2"/>
        <v>1</v>
      </c>
      <c r="K9" s="422">
        <f t="shared" si="2"/>
        <v>1</v>
      </c>
      <c r="L9" s="422">
        <f t="shared" si="2"/>
        <v>1</v>
      </c>
      <c r="M9" s="422">
        <f t="shared" si="2"/>
        <v>1</v>
      </c>
      <c r="N9" s="457">
        <f>Score_4</f>
        <v>9</v>
      </c>
      <c r="O9" s="457">
        <f>Score_3</f>
        <v>6</v>
      </c>
      <c r="P9" s="457">
        <f>Score_3</f>
        <v>6</v>
      </c>
      <c r="Q9" s="458">
        <f>Score_2</f>
        <v>3</v>
      </c>
      <c r="R9" s="458">
        <f>Score_1</f>
        <v>1</v>
      </c>
      <c r="S9" s="458">
        <f>Score_4</f>
        <v>9</v>
      </c>
      <c r="T9" s="457">
        <f>Score_2</f>
        <v>3</v>
      </c>
      <c r="U9" s="457">
        <f>Score_1</f>
        <v>1</v>
      </c>
      <c r="V9" s="457">
        <f>Score_3</f>
        <v>6</v>
      </c>
      <c r="W9" s="457">
        <f>Score_1</f>
        <v>1</v>
      </c>
      <c r="X9" s="457">
        <f>Score_4</f>
        <v>9</v>
      </c>
      <c r="Y9" s="457">
        <f t="shared" ref="Y9:AD9" si="3">Score_1</f>
        <v>1</v>
      </c>
      <c r="Z9" s="457">
        <f t="shared" si="3"/>
        <v>1</v>
      </c>
      <c r="AA9" s="457">
        <f t="shared" si="3"/>
        <v>1</v>
      </c>
      <c r="AB9" s="457">
        <f t="shared" si="3"/>
        <v>1</v>
      </c>
      <c r="AC9" s="457">
        <f t="shared" si="3"/>
        <v>1</v>
      </c>
      <c r="AD9" s="457">
        <f t="shared" si="3"/>
        <v>1</v>
      </c>
    </row>
    <row r="10" spans="1:30" ht="30" x14ac:dyDescent="0.25">
      <c r="A10" s="460" t="str">
        <f t="shared" si="0"/>
        <v>Wat is het Technology Readiness Level (TRL) volgens de EU criteria?</v>
      </c>
      <c r="B10" s="422">
        <v>7</v>
      </c>
      <c r="C10" s="424">
        <v>4</v>
      </c>
      <c r="D10" s="424">
        <v>3</v>
      </c>
      <c r="E10" s="457">
        <v>5</v>
      </c>
      <c r="F10" s="422">
        <v>7</v>
      </c>
      <c r="G10" s="422">
        <v>4</v>
      </c>
      <c r="H10" s="422">
        <v>8</v>
      </c>
      <c r="I10" s="422">
        <v>4</v>
      </c>
      <c r="J10" s="457">
        <v>4</v>
      </c>
      <c r="K10" s="457">
        <v>7</v>
      </c>
      <c r="L10" s="458">
        <v>4</v>
      </c>
      <c r="M10" s="458">
        <v>2</v>
      </c>
      <c r="N10" s="641">
        <v>4</v>
      </c>
      <c r="O10" s="642"/>
      <c r="P10" s="457">
        <v>7</v>
      </c>
      <c r="Q10" s="457">
        <v>9</v>
      </c>
      <c r="R10" s="457">
        <v>6</v>
      </c>
      <c r="S10" s="457">
        <v>9</v>
      </c>
      <c r="T10" s="457">
        <v>9</v>
      </c>
      <c r="U10" s="641">
        <v>9</v>
      </c>
      <c r="V10" s="642"/>
      <c r="W10" s="458">
        <v>3</v>
      </c>
      <c r="X10" s="457">
        <v>7</v>
      </c>
      <c r="Y10" s="457">
        <v>6</v>
      </c>
      <c r="Z10" s="650">
        <v>8</v>
      </c>
      <c r="AA10" s="652"/>
      <c r="AB10" s="651"/>
      <c r="AC10" s="650">
        <v>5</v>
      </c>
      <c r="AD10" s="651"/>
    </row>
    <row r="11" spans="1:30" ht="30" x14ac:dyDescent="0.25">
      <c r="A11" s="460" t="str">
        <f t="shared" si="0"/>
        <v>Was is de verwachte verdringing van broeikasgassen in kg CO2 equivalenten per ton nat (incl. energieverbruik)</v>
      </c>
      <c r="B11" s="422">
        <f>Score_1</f>
        <v>1</v>
      </c>
      <c r="C11" s="422">
        <f>Score_1</f>
        <v>1</v>
      </c>
      <c r="D11" s="422">
        <f>Score_4</f>
        <v>9</v>
      </c>
      <c r="E11" s="423">
        <f>Score_4</f>
        <v>9</v>
      </c>
      <c r="F11" s="423">
        <f>Score_2</f>
        <v>3</v>
      </c>
      <c r="G11" s="423">
        <f>Score_1</f>
        <v>1</v>
      </c>
      <c r="H11" s="423">
        <f>Score_3</f>
        <v>6</v>
      </c>
      <c r="I11" s="423">
        <f>Score_3</f>
        <v>6</v>
      </c>
      <c r="J11" s="423">
        <f>Score_4</f>
        <v>9</v>
      </c>
      <c r="K11" s="423">
        <f>Score_4</f>
        <v>9</v>
      </c>
      <c r="L11" s="423">
        <f>Score_3</f>
        <v>6</v>
      </c>
      <c r="M11" s="423">
        <f>Score_3</f>
        <v>6</v>
      </c>
      <c r="N11" s="640">
        <f>Score_2</f>
        <v>3</v>
      </c>
      <c r="O11" s="640"/>
      <c r="P11" s="423">
        <f>Score_2</f>
        <v>3</v>
      </c>
      <c r="Q11" s="423">
        <f>Score_4</f>
        <v>9</v>
      </c>
      <c r="R11" s="423">
        <f>Score_1</f>
        <v>1</v>
      </c>
      <c r="S11" s="423">
        <f>Score_3</f>
        <v>6</v>
      </c>
      <c r="T11" s="423">
        <f>Score_2</f>
        <v>3</v>
      </c>
      <c r="U11" s="640">
        <f>Score_4</f>
        <v>9</v>
      </c>
      <c r="V11" s="640"/>
      <c r="W11" s="423">
        <f>Score_2</f>
        <v>3</v>
      </c>
      <c r="X11" s="421">
        <f>Score_3</f>
        <v>6</v>
      </c>
      <c r="Y11" s="421">
        <f>Score_3</f>
        <v>6</v>
      </c>
      <c r="Z11" s="640">
        <f>Score_3</f>
        <v>6</v>
      </c>
      <c r="AA11" s="640"/>
      <c r="AB11" s="640"/>
      <c r="AC11" s="647">
        <f>Score_3</f>
        <v>6</v>
      </c>
      <c r="AD11" s="647"/>
    </row>
    <row r="12" spans="1:30" ht="30" x14ac:dyDescent="0.25">
      <c r="A12" s="460" t="str">
        <f t="shared" si="0"/>
        <v>Welke (natuurlijke) bronnen vervangt of spaart dit product of deze technologie?</v>
      </c>
      <c r="B12" s="422">
        <f>Score_2</f>
        <v>3</v>
      </c>
      <c r="C12" s="422">
        <f>Score_2</f>
        <v>3</v>
      </c>
      <c r="D12" s="422">
        <f>Score_4</f>
        <v>9</v>
      </c>
      <c r="E12" s="422">
        <f>Score_4</f>
        <v>9</v>
      </c>
      <c r="F12" s="422">
        <f>Score_4</f>
        <v>9</v>
      </c>
      <c r="G12" s="422">
        <f>Score_3</f>
        <v>6</v>
      </c>
      <c r="H12" s="422">
        <f>Score_3</f>
        <v>6</v>
      </c>
      <c r="I12" s="422">
        <f>Score_3</f>
        <v>6</v>
      </c>
      <c r="J12" s="422">
        <f t="shared" ref="J12:L13" si="4">Score_2</f>
        <v>3</v>
      </c>
      <c r="K12" s="422">
        <f t="shared" si="4"/>
        <v>3</v>
      </c>
      <c r="L12" s="422">
        <f t="shared" si="4"/>
        <v>3</v>
      </c>
      <c r="M12" s="422">
        <f>Score_3</f>
        <v>6</v>
      </c>
      <c r="N12" s="422">
        <f>Score_2</f>
        <v>3</v>
      </c>
      <c r="O12" s="422">
        <f>Score_4</f>
        <v>9</v>
      </c>
      <c r="P12" s="422">
        <f>Score_4</f>
        <v>9</v>
      </c>
      <c r="Q12" s="422">
        <f>Score_1</f>
        <v>1</v>
      </c>
      <c r="R12" s="422">
        <f>Score_1</f>
        <v>1</v>
      </c>
      <c r="S12" s="422">
        <f t="shared" ref="S12:U13" si="5">Score_1</f>
        <v>1</v>
      </c>
      <c r="T12" s="422">
        <f t="shared" si="5"/>
        <v>1</v>
      </c>
      <c r="U12" s="422">
        <f t="shared" si="5"/>
        <v>1</v>
      </c>
      <c r="V12" s="422">
        <f>Score_4</f>
        <v>9</v>
      </c>
      <c r="W12" s="424">
        <f>Score_4</f>
        <v>9</v>
      </c>
      <c r="X12" s="424">
        <f>Score_4</f>
        <v>9</v>
      </c>
      <c r="Y12" s="424">
        <f>Score_4</f>
        <v>9</v>
      </c>
      <c r="Z12" s="422">
        <f>Score_3</f>
        <v>6</v>
      </c>
      <c r="AA12" s="422">
        <f>Score_4</f>
        <v>9</v>
      </c>
      <c r="AB12" s="422">
        <f>Score_4</f>
        <v>9</v>
      </c>
      <c r="AC12" s="424">
        <f>Score_3</f>
        <v>6</v>
      </c>
      <c r="AD12" s="424">
        <f>Score_4</f>
        <v>9</v>
      </c>
    </row>
    <row r="13" spans="1:30" ht="30" x14ac:dyDescent="0.25">
      <c r="A13" s="460" t="str">
        <f t="shared" si="0"/>
        <v>Op welk niveau in de waarde piramide bevindt zich dit product of de technologie?</v>
      </c>
      <c r="B13" s="422">
        <f t="shared" ref="B13:C15" si="6">Score_3</f>
        <v>6</v>
      </c>
      <c r="C13" s="422">
        <f t="shared" si="6"/>
        <v>6</v>
      </c>
      <c r="D13" s="422">
        <f t="shared" ref="D13:I15" si="7">Score_2</f>
        <v>3</v>
      </c>
      <c r="E13" s="422">
        <f t="shared" si="7"/>
        <v>3</v>
      </c>
      <c r="F13" s="422">
        <f t="shared" si="7"/>
        <v>3</v>
      </c>
      <c r="G13" s="422">
        <f t="shared" si="7"/>
        <v>3</v>
      </c>
      <c r="H13" s="422">
        <f t="shared" si="7"/>
        <v>3</v>
      </c>
      <c r="I13" s="422">
        <f t="shared" si="7"/>
        <v>3</v>
      </c>
      <c r="J13" s="422">
        <f t="shared" si="4"/>
        <v>3</v>
      </c>
      <c r="K13" s="422">
        <f t="shared" si="4"/>
        <v>3</v>
      </c>
      <c r="L13" s="422">
        <f t="shared" si="4"/>
        <v>3</v>
      </c>
      <c r="M13" s="422">
        <f>Score_2</f>
        <v>3</v>
      </c>
      <c r="N13" s="422">
        <f>Score_3</f>
        <v>6</v>
      </c>
      <c r="O13" s="422">
        <f>Score_1</f>
        <v>1</v>
      </c>
      <c r="P13" s="422">
        <f>Score_2</f>
        <v>3</v>
      </c>
      <c r="Q13" s="422">
        <f>Score_2</f>
        <v>3</v>
      </c>
      <c r="R13" s="422">
        <f>Score_2</f>
        <v>3</v>
      </c>
      <c r="S13" s="422">
        <f t="shared" si="5"/>
        <v>1</v>
      </c>
      <c r="T13" s="422">
        <f t="shared" si="5"/>
        <v>1</v>
      </c>
      <c r="U13" s="422">
        <f t="shared" si="5"/>
        <v>1</v>
      </c>
      <c r="V13" s="422">
        <f t="shared" ref="V13:AD13" si="8">Score_1</f>
        <v>1</v>
      </c>
      <c r="W13" s="424">
        <f t="shared" si="8"/>
        <v>1</v>
      </c>
      <c r="X13" s="424">
        <f t="shared" si="8"/>
        <v>1</v>
      </c>
      <c r="Y13" s="424">
        <f t="shared" si="8"/>
        <v>1</v>
      </c>
      <c r="Z13" s="422">
        <f t="shared" si="8"/>
        <v>1</v>
      </c>
      <c r="AA13" s="422">
        <f t="shared" si="8"/>
        <v>1</v>
      </c>
      <c r="AB13" s="422">
        <f t="shared" si="8"/>
        <v>1</v>
      </c>
      <c r="AC13" s="424">
        <f t="shared" si="8"/>
        <v>1</v>
      </c>
      <c r="AD13" s="424">
        <f t="shared" si="8"/>
        <v>1</v>
      </c>
    </row>
    <row r="14" spans="1:30" ht="45" x14ac:dyDescent="0.25">
      <c r="A14" s="460" t="str">
        <f t="shared" si="0"/>
        <v>Zijn er voor dit product wettelijke of regelgevende beperkingen te verwachten? Bijvoorbeeld voedselveiligheid, bouwbesluit, GMP+, …</v>
      </c>
      <c r="B14" s="422">
        <f t="shared" si="6"/>
        <v>6</v>
      </c>
      <c r="C14" s="422">
        <f t="shared" si="6"/>
        <v>6</v>
      </c>
      <c r="D14" s="422">
        <f t="shared" si="7"/>
        <v>3</v>
      </c>
      <c r="E14" s="422">
        <f t="shared" si="7"/>
        <v>3</v>
      </c>
      <c r="F14" s="422">
        <f t="shared" si="7"/>
        <v>3</v>
      </c>
      <c r="G14" s="422">
        <f t="shared" si="7"/>
        <v>3</v>
      </c>
      <c r="H14" s="422">
        <f>Score_4</f>
        <v>9</v>
      </c>
      <c r="I14" s="422">
        <f>Score_4</f>
        <v>9</v>
      </c>
      <c r="J14" s="422">
        <f t="shared" ref="J14:L15" si="9">Score_3</f>
        <v>6</v>
      </c>
      <c r="K14" s="422">
        <f t="shared" si="9"/>
        <v>6</v>
      </c>
      <c r="L14" s="422">
        <f t="shared" si="9"/>
        <v>6</v>
      </c>
      <c r="M14" s="422">
        <f>Score_4</f>
        <v>9</v>
      </c>
      <c r="N14" s="422">
        <f>Score_3</f>
        <v>6</v>
      </c>
      <c r="O14" s="422">
        <f>Score_4</f>
        <v>9</v>
      </c>
      <c r="P14" s="422">
        <f>Score_3</f>
        <v>6</v>
      </c>
      <c r="Q14" s="422">
        <f>Score_3</f>
        <v>6</v>
      </c>
      <c r="R14" s="422">
        <f>Score_2</f>
        <v>3</v>
      </c>
      <c r="S14" s="422">
        <f>Score_3</f>
        <v>6</v>
      </c>
      <c r="T14" s="422">
        <f t="shared" ref="T14:Y14" si="10">Score_4</f>
        <v>9</v>
      </c>
      <c r="U14" s="422">
        <f t="shared" si="10"/>
        <v>9</v>
      </c>
      <c r="V14" s="422">
        <f t="shared" si="10"/>
        <v>9</v>
      </c>
      <c r="W14" s="422">
        <f t="shared" si="10"/>
        <v>9</v>
      </c>
      <c r="X14" s="422">
        <f t="shared" si="10"/>
        <v>9</v>
      </c>
      <c r="Y14" s="422">
        <f t="shared" si="10"/>
        <v>9</v>
      </c>
      <c r="Z14" s="422">
        <f>Score_3</f>
        <v>6</v>
      </c>
      <c r="AA14" s="422">
        <f>Score_4</f>
        <v>9</v>
      </c>
      <c r="AB14" s="422">
        <f>Score_4</f>
        <v>9</v>
      </c>
      <c r="AC14" s="422">
        <f>Score_3</f>
        <v>6</v>
      </c>
      <c r="AD14" s="422">
        <f>Score_4</f>
        <v>9</v>
      </c>
    </row>
    <row r="15" spans="1:30" ht="30" x14ac:dyDescent="0.25">
      <c r="A15" s="460" t="str">
        <f t="shared" si="0"/>
        <v>Is er op dit moment of korte termijn concrete vraag uit de markt voor dit product?</v>
      </c>
      <c r="B15" s="422">
        <f t="shared" si="6"/>
        <v>6</v>
      </c>
      <c r="C15" s="422">
        <f t="shared" si="6"/>
        <v>6</v>
      </c>
      <c r="D15" s="422">
        <f t="shared" si="7"/>
        <v>3</v>
      </c>
      <c r="E15" s="422">
        <f>Score_3</f>
        <v>6</v>
      </c>
      <c r="F15" s="422">
        <f>Score_3</f>
        <v>6</v>
      </c>
      <c r="G15" s="422">
        <f>Score_4</f>
        <v>9</v>
      </c>
      <c r="H15" s="422">
        <f>Score_3</f>
        <v>6</v>
      </c>
      <c r="I15" s="422">
        <f>Score_3</f>
        <v>6</v>
      </c>
      <c r="J15" s="422">
        <f t="shared" si="9"/>
        <v>6</v>
      </c>
      <c r="K15" s="422">
        <f t="shared" si="9"/>
        <v>6</v>
      </c>
      <c r="L15" s="422">
        <f t="shared" si="9"/>
        <v>6</v>
      </c>
      <c r="M15" s="422">
        <f>Score_2</f>
        <v>3</v>
      </c>
      <c r="N15" s="640">
        <f>Score_4</f>
        <v>9</v>
      </c>
      <c r="O15" s="640"/>
      <c r="P15" s="422">
        <f>Score_3</f>
        <v>6</v>
      </c>
      <c r="Q15" s="422">
        <f>Score_3</f>
        <v>6</v>
      </c>
      <c r="R15" s="422">
        <f>Score_2</f>
        <v>3</v>
      </c>
      <c r="S15" s="458">
        <f>Score_4</f>
        <v>9</v>
      </c>
      <c r="T15" s="458">
        <f>Score_4</f>
        <v>9</v>
      </c>
      <c r="U15" s="640">
        <f>Score_4</f>
        <v>9</v>
      </c>
      <c r="V15" s="640"/>
      <c r="W15" s="457">
        <f>Score_2</f>
        <v>3</v>
      </c>
      <c r="X15" s="422">
        <f>Score_4</f>
        <v>9</v>
      </c>
      <c r="Y15" s="422">
        <f>Score_4</f>
        <v>9</v>
      </c>
      <c r="Z15" s="641">
        <f>Score_2</f>
        <v>3</v>
      </c>
      <c r="AA15" s="648"/>
      <c r="AB15" s="642"/>
      <c r="AC15" s="640">
        <f>Score_2</f>
        <v>3</v>
      </c>
      <c r="AD15" s="640"/>
    </row>
    <row r="16" spans="1:30" ht="30.75" thickBot="1" x14ac:dyDescent="0.3">
      <c r="A16" s="460" t="str">
        <f t="shared" si="0"/>
        <v>Kunnen Overheden een rol nemen als Launching Customer om marktintroductie te versnellen?</v>
      </c>
      <c r="B16" s="433">
        <f>Score_4</f>
        <v>9</v>
      </c>
      <c r="C16" s="433">
        <f>Score_4</f>
        <v>9</v>
      </c>
      <c r="D16" s="433">
        <f>Score_4</f>
        <v>9</v>
      </c>
      <c r="E16" s="433">
        <f>Score_2</f>
        <v>3</v>
      </c>
      <c r="F16" s="433">
        <f>Score_2</f>
        <v>3</v>
      </c>
      <c r="G16" s="433">
        <f>Score_3</f>
        <v>6</v>
      </c>
      <c r="H16" s="433">
        <f>Score_4</f>
        <v>9</v>
      </c>
      <c r="I16" s="433">
        <f>Score_4</f>
        <v>9</v>
      </c>
      <c r="J16" s="433">
        <f>Score_2</f>
        <v>3</v>
      </c>
      <c r="K16" s="433">
        <f>Score_2</f>
        <v>3</v>
      </c>
      <c r="L16" s="433">
        <f>Score_2</f>
        <v>3</v>
      </c>
      <c r="M16" s="433">
        <f>Score_1</f>
        <v>1</v>
      </c>
      <c r="N16" s="433">
        <f>Score_4</f>
        <v>9</v>
      </c>
      <c r="O16" s="433">
        <f>Score_4</f>
        <v>9</v>
      </c>
      <c r="P16" s="433">
        <f>Score_3</f>
        <v>6</v>
      </c>
      <c r="Q16" s="433">
        <f>Score_1</f>
        <v>1</v>
      </c>
      <c r="R16" s="433">
        <f>Score_2</f>
        <v>3</v>
      </c>
      <c r="S16" s="433">
        <f>Score_2</f>
        <v>3</v>
      </c>
      <c r="T16" s="433">
        <f>Score_2</f>
        <v>3</v>
      </c>
      <c r="U16" s="433">
        <f>Score_2</f>
        <v>3</v>
      </c>
      <c r="V16" s="433">
        <f>Score_4</f>
        <v>9</v>
      </c>
      <c r="W16" s="433">
        <f>Score_4</f>
        <v>9</v>
      </c>
      <c r="X16" s="433">
        <f>Score_2</f>
        <v>3</v>
      </c>
      <c r="Y16" s="433">
        <f>Score_3</f>
        <v>6</v>
      </c>
      <c r="Z16" s="433">
        <f>Score_3</f>
        <v>6</v>
      </c>
      <c r="AA16" s="433">
        <f>Score_4</f>
        <v>9</v>
      </c>
      <c r="AB16" s="433">
        <f>Score_3</f>
        <v>6</v>
      </c>
      <c r="AC16" s="433">
        <f>Score_3</f>
        <v>6</v>
      </c>
      <c r="AD16" s="433">
        <f>Score_3</f>
        <v>6</v>
      </c>
    </row>
    <row r="17" spans="1:30" ht="19.5" hidden="1" thickBot="1" x14ac:dyDescent="0.3">
      <c r="A17" s="461"/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5"/>
      <c r="O17" s="436"/>
      <c r="P17" s="434"/>
      <c r="Q17" s="434"/>
      <c r="R17" s="434"/>
      <c r="S17" s="434"/>
      <c r="T17" s="434"/>
      <c r="U17" s="435"/>
      <c r="V17" s="436"/>
      <c r="W17" s="434"/>
      <c r="X17" s="434"/>
      <c r="Y17" s="434"/>
      <c r="Z17" s="435"/>
      <c r="AA17" s="437"/>
      <c r="AB17" s="436"/>
      <c r="AC17" s="435"/>
      <c r="AD17" s="436"/>
    </row>
    <row r="18" spans="1:30" ht="19.5" thickTop="1" x14ac:dyDescent="0.25">
      <c r="A18" s="462" t="s">
        <v>411</v>
      </c>
      <c r="B18" s="438">
        <f>SUBTOTAL(9,B6:B16)</f>
        <v>62</v>
      </c>
      <c r="C18" s="438">
        <f t="shared" ref="C18:M18" si="11">SUBTOTAL(9,C6:C16)</f>
        <v>59</v>
      </c>
      <c r="D18" s="439">
        <f t="shared" si="11"/>
        <v>50</v>
      </c>
      <c r="E18" s="439">
        <f t="shared" si="11"/>
        <v>51</v>
      </c>
      <c r="F18" s="439">
        <f t="shared" si="11"/>
        <v>47</v>
      </c>
      <c r="G18" s="439">
        <f t="shared" si="11"/>
        <v>45</v>
      </c>
      <c r="H18" s="439">
        <f t="shared" si="11"/>
        <v>66</v>
      </c>
      <c r="I18" s="439">
        <f t="shared" si="11"/>
        <v>62</v>
      </c>
      <c r="J18" s="439">
        <f t="shared" si="11"/>
        <v>50</v>
      </c>
      <c r="K18" s="439">
        <f t="shared" si="11"/>
        <v>48</v>
      </c>
      <c r="L18" s="439">
        <f t="shared" si="11"/>
        <v>40</v>
      </c>
      <c r="M18" s="439">
        <f t="shared" si="11"/>
        <v>41</v>
      </c>
      <c r="N18" s="644">
        <f>SUBTOTAL(9,N6:O11)+SUBTOTAL(9,N12,N13,N16)*0.5+SUBTOTAL(9,O12,O13,O16)*0.5</f>
        <v>68.5</v>
      </c>
      <c r="O18" s="645"/>
      <c r="P18" s="439">
        <f t="shared" ref="P18:T18" si="12">SUBTOTAL(9,P6:P16)</f>
        <v>58</v>
      </c>
      <c r="Q18" s="439">
        <f t="shared" si="12"/>
        <v>46</v>
      </c>
      <c r="R18" s="439">
        <f t="shared" si="12"/>
        <v>29</v>
      </c>
      <c r="S18" s="439">
        <f t="shared" si="12"/>
        <v>68</v>
      </c>
      <c r="T18" s="439">
        <f t="shared" si="12"/>
        <v>65</v>
      </c>
      <c r="U18" s="644">
        <f>SUBTOTAL(9,U6,U7,U10,U11,U15)+SUBTOTAL(9,U8,U9,U12,U13,U16,U14)*0.8+SUBTOTAL(9,V8,V9,V12,V13,V16,V14)*0.2</f>
        <v>69.8</v>
      </c>
      <c r="V18" s="645"/>
      <c r="W18" s="439">
        <f t="shared" ref="W18:Y18" si="13">SUBTOTAL(9,W6:W16)</f>
        <v>53</v>
      </c>
      <c r="X18" s="439">
        <f t="shared" si="13"/>
        <v>71</v>
      </c>
      <c r="Y18" s="439">
        <f t="shared" si="13"/>
        <v>65</v>
      </c>
      <c r="Z18" s="644">
        <f>SUBTOTAL(9,Z6,Z7,Z10,Z11,Z15)+SUBTOTAL(9,Z8,Z9,Z12,Z13,Z14,Z16)*0.3+SUBTOTAL(9,AA8,AA9,AA12,AA13,AA14,AA16)*0.4+SUBTOTAL(9,AB8,AB9,AB12,AB13,AB14,AB16)*0.3</f>
        <v>60.4</v>
      </c>
      <c r="AA18" s="649"/>
      <c r="AB18" s="645"/>
      <c r="AC18" s="644">
        <f>SUBTOTAL(9,AC6,AC7,AC10,AC11,AC15)+SUBTOTAL(9,AC8,AC9,AC12,AC13,AC14,AC16)*0.8+SUBTOTAL(9,AD8,AD9,AD12,AD13,AD14,AD16)*0.2</f>
        <v>53.199999999999996</v>
      </c>
      <c r="AD18" s="645"/>
    </row>
    <row r="19" spans="1:30" ht="18.75" x14ac:dyDescent="0.25">
      <c r="A19" s="462" t="s">
        <v>412</v>
      </c>
      <c r="B19" s="432">
        <f t="shared" ref="B19:M19" si="14">SUM(B6:B16)</f>
        <v>62</v>
      </c>
      <c r="C19" s="432">
        <f t="shared" si="14"/>
        <v>59</v>
      </c>
      <c r="D19" s="440">
        <f t="shared" si="14"/>
        <v>50</v>
      </c>
      <c r="E19" s="440">
        <f t="shared" si="14"/>
        <v>51</v>
      </c>
      <c r="F19" s="440">
        <f t="shared" si="14"/>
        <v>47</v>
      </c>
      <c r="G19" s="440">
        <f t="shared" si="14"/>
        <v>45</v>
      </c>
      <c r="H19" s="440">
        <f t="shared" si="14"/>
        <v>66</v>
      </c>
      <c r="I19" s="440">
        <f t="shared" si="14"/>
        <v>62</v>
      </c>
      <c r="J19" s="440">
        <f t="shared" si="14"/>
        <v>50</v>
      </c>
      <c r="K19" s="440">
        <f t="shared" si="14"/>
        <v>48</v>
      </c>
      <c r="L19" s="440">
        <f t="shared" si="14"/>
        <v>40</v>
      </c>
      <c r="M19" s="440">
        <f t="shared" si="14"/>
        <v>41</v>
      </c>
      <c r="N19" s="643">
        <f>N15+N11+N10+N7+N6+0.5*(N8+N9+N14+N13+N12+N16)+0.5*(O8+O9+O14+O12+O13+O16)</f>
        <v>68.5</v>
      </c>
      <c r="O19" s="643"/>
      <c r="P19" s="440">
        <f>SUM(P6:P16)</f>
        <v>58</v>
      </c>
      <c r="Q19" s="440">
        <f>SUM(Q6:Q16)</f>
        <v>46</v>
      </c>
      <c r="R19" s="440">
        <f>SUM(R6:R16)</f>
        <v>29</v>
      </c>
      <c r="S19" s="440">
        <f>SUM(S6:S16)</f>
        <v>68</v>
      </c>
      <c r="T19" s="440">
        <f>SUM(T6:T16)</f>
        <v>65</v>
      </c>
      <c r="U19" s="643">
        <f>U15+U11+U10+U7+U6+0.8*(U8+U9+U14+U13+U12+U16)+0.2*(V8+V9+V12+V13+V14+V16)</f>
        <v>69.8</v>
      </c>
      <c r="V19" s="643"/>
      <c r="W19" s="440">
        <f>SUM(W6:W16)</f>
        <v>53</v>
      </c>
      <c r="X19" s="440">
        <f>SUM(X6:X16)</f>
        <v>71</v>
      </c>
      <c r="Y19" s="440">
        <f>SUM(Y6:Y16)</f>
        <v>65</v>
      </c>
      <c r="Z19" s="643">
        <f>Z6+Z7+Z10+Z11+Z15+0.3*(Z8+Z9+Z12+Z13+Z14+Z16)+0.4*(AA8+AA9+AA12+AA13+AA14+AA16)+0.3*(AB8+AB9+AB12+AB13+AB14+AB16)</f>
        <v>60.4</v>
      </c>
      <c r="AA19" s="643"/>
      <c r="AB19" s="643"/>
      <c r="AC19" s="643">
        <f>AC11+AC10+AC7+AC6+AC15+0.8*(AC8+AC9+AC12+AC13+AC14+AC16)+0.2*(AD8+AD9+AD12+AD13+AD14+AD16)</f>
        <v>53.199999999999996</v>
      </c>
      <c r="AD19" s="643"/>
    </row>
    <row r="21" spans="1:30" ht="15" customHeight="1" x14ac:dyDescent="0.25">
      <c r="A21" s="663" t="s">
        <v>38</v>
      </c>
      <c r="B21" s="655" t="s">
        <v>0</v>
      </c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655"/>
      <c r="Q21" s="655"/>
      <c r="R21" s="666" t="s">
        <v>145</v>
      </c>
      <c r="S21" s="666"/>
      <c r="T21" s="666"/>
      <c r="U21" s="666"/>
      <c r="V21" s="655" t="s">
        <v>123</v>
      </c>
      <c r="W21" s="655"/>
      <c r="X21" s="655"/>
      <c r="Y21" s="655"/>
      <c r="Z21" s="655"/>
      <c r="AA21" s="655"/>
      <c r="AB21" s="655"/>
      <c r="AC21" s="655"/>
      <c r="AD21" s="655"/>
    </row>
    <row r="22" spans="1:30" x14ac:dyDescent="0.25">
      <c r="A22" s="663"/>
      <c r="B22" s="414" t="s">
        <v>43</v>
      </c>
      <c r="C22" s="597" t="s">
        <v>142</v>
      </c>
      <c r="D22" s="597"/>
      <c r="E22" s="597"/>
      <c r="F22" s="597" t="s">
        <v>44</v>
      </c>
      <c r="G22" s="597"/>
      <c r="H22" s="597"/>
      <c r="I22" s="597"/>
      <c r="J22" s="597"/>
      <c r="K22" s="597"/>
      <c r="L22" s="597"/>
      <c r="M22" s="597"/>
      <c r="N22" s="584" t="s">
        <v>104</v>
      </c>
      <c r="O22" s="585"/>
      <c r="P22" s="586"/>
      <c r="Q22" s="597" t="s">
        <v>176</v>
      </c>
      <c r="R22" s="597"/>
      <c r="S22" s="414" t="s">
        <v>405</v>
      </c>
      <c r="T22" s="414" t="s">
        <v>6</v>
      </c>
      <c r="U22" s="656" t="s">
        <v>1</v>
      </c>
      <c r="V22" s="656"/>
      <c r="W22" s="418" t="s">
        <v>33</v>
      </c>
      <c r="X22" s="418" t="s">
        <v>3</v>
      </c>
      <c r="Y22" s="418" t="s">
        <v>4</v>
      </c>
      <c r="Z22" s="656" t="s">
        <v>5</v>
      </c>
      <c r="AA22" s="656"/>
      <c r="AB22" s="656"/>
      <c r="AC22" s="656" t="s">
        <v>82</v>
      </c>
      <c r="AD22" s="656"/>
    </row>
    <row r="23" spans="1:30" x14ac:dyDescent="0.25">
      <c r="A23" s="460" t="s">
        <v>39</v>
      </c>
      <c r="B23" s="665" t="s">
        <v>21</v>
      </c>
      <c r="C23" s="665"/>
      <c r="D23" s="16" t="s">
        <v>57</v>
      </c>
      <c r="E23" s="665" t="s">
        <v>138</v>
      </c>
      <c r="F23" s="665"/>
      <c r="G23" s="417" t="s">
        <v>201</v>
      </c>
      <c r="H23" s="665" t="s">
        <v>7</v>
      </c>
      <c r="I23" s="665"/>
      <c r="J23" s="665" t="s">
        <v>47</v>
      </c>
      <c r="K23" s="665"/>
      <c r="L23" s="665"/>
      <c r="M23" s="417" t="s">
        <v>92</v>
      </c>
      <c r="N23" s="413" t="s">
        <v>21</v>
      </c>
      <c r="O23" s="416" t="s">
        <v>30</v>
      </c>
      <c r="P23" s="188" t="s">
        <v>105</v>
      </c>
      <c r="Q23" s="417" t="s">
        <v>9</v>
      </c>
      <c r="R23" s="189" t="s">
        <v>110</v>
      </c>
      <c r="S23" s="189" t="s">
        <v>406</v>
      </c>
      <c r="T23" s="22" t="s">
        <v>36</v>
      </c>
      <c r="U23" s="20" t="s">
        <v>32</v>
      </c>
      <c r="V23" s="5" t="s">
        <v>30</v>
      </c>
      <c r="W23" s="5" t="s">
        <v>34</v>
      </c>
      <c r="X23" s="5" t="s">
        <v>56</v>
      </c>
      <c r="Y23" s="5" t="s">
        <v>31</v>
      </c>
      <c r="Z23" s="191" t="s">
        <v>81</v>
      </c>
      <c r="AA23" s="192" t="s">
        <v>29</v>
      </c>
      <c r="AB23" s="192" t="s">
        <v>31</v>
      </c>
      <c r="AC23" s="20" t="s">
        <v>81</v>
      </c>
      <c r="AD23" s="415" t="s">
        <v>31</v>
      </c>
    </row>
    <row r="24" spans="1:30" x14ac:dyDescent="0.25">
      <c r="A24" s="460" t="s">
        <v>40</v>
      </c>
      <c r="B24" s="419" t="s">
        <v>41</v>
      </c>
      <c r="C24" s="419" t="s">
        <v>42</v>
      </c>
      <c r="D24" s="420" t="s">
        <v>58</v>
      </c>
      <c r="E24" s="419" t="s">
        <v>140</v>
      </c>
      <c r="F24" s="419" t="s">
        <v>137</v>
      </c>
      <c r="G24" s="667" t="s">
        <v>35</v>
      </c>
      <c r="H24" s="667"/>
      <c r="I24" s="667" t="s">
        <v>45</v>
      </c>
      <c r="J24" s="667"/>
      <c r="K24" s="419" t="s">
        <v>46</v>
      </c>
      <c r="L24" s="419" t="s">
        <v>48</v>
      </c>
      <c r="M24" s="419" t="s">
        <v>93</v>
      </c>
      <c r="N24" s="482" t="s">
        <v>271</v>
      </c>
      <c r="O24" s="484"/>
      <c r="P24" s="419" t="s">
        <v>107</v>
      </c>
      <c r="Q24" s="419" t="s">
        <v>49</v>
      </c>
      <c r="R24" s="420" t="s">
        <v>109</v>
      </c>
      <c r="S24" s="420" t="s">
        <v>55</v>
      </c>
      <c r="T24" s="419" t="s">
        <v>55</v>
      </c>
      <c r="U24" s="653" t="s">
        <v>55</v>
      </c>
      <c r="V24" s="653"/>
      <c r="W24" s="420" t="s">
        <v>113</v>
      </c>
      <c r="X24" s="420"/>
      <c r="Y24" s="420"/>
      <c r="Z24" s="653" t="s">
        <v>69</v>
      </c>
      <c r="AA24" s="653"/>
      <c r="AB24" s="653"/>
      <c r="AC24" s="517" t="s">
        <v>263</v>
      </c>
      <c r="AD24" s="518"/>
    </row>
    <row r="25" spans="1:30" x14ac:dyDescent="0.25">
      <c r="A25" s="463" t="s">
        <v>451</v>
      </c>
      <c r="B25" s="449">
        <f>'Bruto toegevoegde waarde'!$E$14</f>
        <v>1072000</v>
      </c>
      <c r="C25" s="449">
        <f>'Bruto toegevoegde waarde'!$E$26</f>
        <v>978000</v>
      </c>
      <c r="D25" s="449">
        <f>'Bruto toegevoegde waarde'!$E$38</f>
        <v>1005000</v>
      </c>
      <c r="E25" s="449">
        <f>'Bruto toegevoegde waarde'!$E$48</f>
        <v>670000</v>
      </c>
      <c r="F25" s="449">
        <f>'Bruto toegevoegde waarde'!$E$58</f>
        <v>423000</v>
      </c>
      <c r="G25" s="449">
        <f>'Bruto toegevoegde waarde'!$E$70</f>
        <v>1086000</v>
      </c>
      <c r="H25" s="449">
        <f>'Bruto toegevoegde waarde'!$E$82</f>
        <v>1225000</v>
      </c>
      <c r="I25" s="449">
        <f>'Bruto toegevoegde waarde'!$E$94</f>
        <v>1025000</v>
      </c>
      <c r="J25" s="449">
        <f>'Bruto toegevoegde waarde'!$E$106</f>
        <v>1285000</v>
      </c>
      <c r="K25" s="449">
        <f>'Bruto toegevoegde waarde'!$E$116</f>
        <v>896000</v>
      </c>
      <c r="L25" s="449">
        <f>'Bruto toegevoegde waarde'!$E$126</f>
        <v>895000</v>
      </c>
      <c r="M25" s="449">
        <f>'Bruto toegevoegde waarde'!$E$136</f>
        <v>776000</v>
      </c>
      <c r="N25" s="668">
        <f>'Bruto toegevoegde waarde'!$E$148</f>
        <v>970500</v>
      </c>
      <c r="O25" s="668"/>
      <c r="P25" s="449">
        <f>'Bruto toegevoegde waarde'!$E$159</f>
        <v>992000</v>
      </c>
      <c r="Q25" s="449">
        <f>'Bruto toegevoegde waarde'!$E$169</f>
        <v>549000</v>
      </c>
      <c r="R25" s="449">
        <f>'Bruto toegevoegde waarde'!$E$181</f>
        <v>0</v>
      </c>
      <c r="S25" s="449">
        <f>'Bruto toegevoegde waarde'!$E$191</f>
        <v>490000</v>
      </c>
      <c r="T25" s="449">
        <f>'Bruto toegevoegde waarde'!$E$201</f>
        <v>404000</v>
      </c>
      <c r="U25" s="668">
        <f>'Bruto toegevoegde waarde'!$E$212</f>
        <v>502000</v>
      </c>
      <c r="V25" s="668"/>
      <c r="W25" s="449">
        <f>'Bruto toegevoegde waarde'!$E$233</f>
        <v>841000</v>
      </c>
      <c r="X25" s="449">
        <f>'Bruto toegevoegde waarde'!$E$222</f>
        <v>964000</v>
      </c>
      <c r="Y25" s="449">
        <f>'Bruto toegevoegde waarde'!$E$243</f>
        <v>424000</v>
      </c>
      <c r="Z25" s="668">
        <f>'Bruto toegevoegde waarde'!$E$254</f>
        <v>613000</v>
      </c>
      <c r="AA25" s="668"/>
      <c r="AB25" s="668"/>
      <c r="AC25" s="668">
        <f>'Bruto toegevoegde waarde'!$E$264</f>
        <v>488800</v>
      </c>
      <c r="AD25" s="668"/>
    </row>
    <row r="26" spans="1:30" x14ac:dyDescent="0.25">
      <c r="A26" s="463" t="s">
        <v>452</v>
      </c>
      <c r="B26" s="450">
        <f>'Bruto toegevoegde waarde'!$E$4</f>
        <v>10000</v>
      </c>
      <c r="C26" s="450">
        <f>'Bruto toegevoegde waarde'!$E$17</f>
        <v>10000</v>
      </c>
      <c r="D26" s="450">
        <f>'Bruto toegevoegde waarde'!$E$29</f>
        <v>10000</v>
      </c>
      <c r="E26" s="450">
        <f>'Bruto toegevoegde waarde'!$E$41</f>
        <v>10000</v>
      </c>
      <c r="F26" s="450">
        <f>'Bruto toegevoegde waarde'!$E$51</f>
        <v>10000</v>
      </c>
      <c r="G26" s="450">
        <f>'Bruto toegevoegde waarde'!$E$61</f>
        <v>10000</v>
      </c>
      <c r="H26" s="450">
        <f>'Bruto toegevoegde waarde'!$E$73</f>
        <v>10000</v>
      </c>
      <c r="I26" s="450">
        <f>'Bruto toegevoegde waarde'!$E$85</f>
        <v>10000</v>
      </c>
      <c r="J26" s="450">
        <f>'Bruto toegevoegde waarde'!$E$97</f>
        <v>10000</v>
      </c>
      <c r="K26" s="450">
        <f>'Bruto toegevoegde waarde'!$E$109</f>
        <v>10000</v>
      </c>
      <c r="L26" s="450">
        <f>'Bruto toegevoegde waarde'!$E$119</f>
        <v>10000</v>
      </c>
      <c r="M26" s="450">
        <f>'Bruto toegevoegde waarde'!$E$129</f>
        <v>10000</v>
      </c>
      <c r="N26" s="646">
        <f>'Bruto toegevoegde waarde'!$E$139</f>
        <v>10000</v>
      </c>
      <c r="O26" s="646"/>
      <c r="P26" s="450">
        <f>'Bruto toegevoegde waarde'!$E$151</f>
        <v>10000</v>
      </c>
      <c r="Q26" s="450">
        <f>'Bruto toegevoegde waarde'!$E$162</f>
        <v>10000</v>
      </c>
      <c r="R26" s="450">
        <f>'Bruto toegevoegde waarde'!$E$172</f>
        <v>0</v>
      </c>
      <c r="S26" s="450">
        <f>'Bruto toegevoegde waarde'!$E$184</f>
        <v>10000</v>
      </c>
      <c r="T26" s="450">
        <f>'Bruto toegevoegde waarde'!$E$194</f>
        <v>10000</v>
      </c>
      <c r="U26" s="646">
        <f>'Bruto toegevoegde waarde'!$E$204</f>
        <v>10000</v>
      </c>
      <c r="V26" s="646"/>
      <c r="W26" s="450">
        <f>'Bruto toegevoegde waarde'!$E$225</f>
        <v>10000</v>
      </c>
      <c r="X26" s="450">
        <f>'Bruto toegevoegde waarde'!$E$215</f>
        <v>10000</v>
      </c>
      <c r="Y26" s="450">
        <f>'Bruto toegevoegde waarde'!$E$236</f>
        <v>10000</v>
      </c>
      <c r="Z26" s="646">
        <f>'Bruto toegevoegde waarde'!$E$246</f>
        <v>10000</v>
      </c>
      <c r="AA26" s="646"/>
      <c r="AB26" s="646"/>
      <c r="AC26" s="646">
        <f>'Bruto toegevoegde waarde'!$E$257</f>
        <v>10000</v>
      </c>
      <c r="AD26" s="646"/>
    </row>
    <row r="27" spans="1:30" x14ac:dyDescent="0.25">
      <c r="A27" s="463" t="s">
        <v>453</v>
      </c>
      <c r="B27" s="449">
        <f>B25/B26</f>
        <v>107.2</v>
      </c>
      <c r="C27" s="449">
        <f t="shared" ref="C27:AC27" si="15">C25/C26</f>
        <v>97.8</v>
      </c>
      <c r="D27" s="449">
        <f t="shared" si="15"/>
        <v>100.5</v>
      </c>
      <c r="E27" s="449">
        <f t="shared" si="15"/>
        <v>67</v>
      </c>
      <c r="F27" s="449">
        <f t="shared" si="15"/>
        <v>42.3</v>
      </c>
      <c r="G27" s="449">
        <f t="shared" si="15"/>
        <v>108.6</v>
      </c>
      <c r="H27" s="449">
        <f t="shared" si="15"/>
        <v>122.5</v>
      </c>
      <c r="I27" s="449">
        <f t="shared" si="15"/>
        <v>102.5</v>
      </c>
      <c r="J27" s="449">
        <f t="shared" si="15"/>
        <v>128.5</v>
      </c>
      <c r="K27" s="449">
        <f t="shared" si="15"/>
        <v>89.6</v>
      </c>
      <c r="L27" s="449">
        <f t="shared" si="15"/>
        <v>89.5</v>
      </c>
      <c r="M27" s="449">
        <f t="shared" si="15"/>
        <v>77.599999999999994</v>
      </c>
      <c r="N27" s="678">
        <f t="shared" si="15"/>
        <v>97.05</v>
      </c>
      <c r="O27" s="679"/>
      <c r="P27" s="449">
        <f t="shared" si="15"/>
        <v>99.2</v>
      </c>
      <c r="Q27" s="449">
        <f t="shared" si="15"/>
        <v>54.9</v>
      </c>
      <c r="R27" s="449">
        <f>IF(R26=0,0,R25/R26)</f>
        <v>0</v>
      </c>
      <c r="S27" s="449">
        <f t="shared" si="15"/>
        <v>49</v>
      </c>
      <c r="T27" s="449">
        <f t="shared" si="15"/>
        <v>40.4</v>
      </c>
      <c r="U27" s="678">
        <f t="shared" si="15"/>
        <v>50.2</v>
      </c>
      <c r="V27" s="679"/>
      <c r="W27" s="449">
        <f t="shared" si="15"/>
        <v>84.1</v>
      </c>
      <c r="X27" s="449">
        <f t="shared" si="15"/>
        <v>96.4</v>
      </c>
      <c r="Y27" s="449">
        <f t="shared" si="15"/>
        <v>42.4</v>
      </c>
      <c r="Z27" s="678">
        <f t="shared" si="15"/>
        <v>61.3</v>
      </c>
      <c r="AA27" s="680"/>
      <c r="AB27" s="679"/>
      <c r="AC27" s="678">
        <f t="shared" si="15"/>
        <v>48.88</v>
      </c>
      <c r="AD27" s="679"/>
    </row>
    <row r="28" spans="1:30" x14ac:dyDescent="0.25">
      <c r="A28" s="464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</row>
    <row r="29" spans="1:30" x14ac:dyDescent="0.25">
      <c r="A29" s="464"/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</row>
    <row r="30" spans="1:30" x14ac:dyDescent="0.25">
      <c r="A30" s="464"/>
      <c r="B30" s="425"/>
      <c r="C30" s="426"/>
      <c r="D30" s="426"/>
      <c r="E30" s="426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</row>
    <row r="31" spans="1:30" ht="15.75" thickBot="1" x14ac:dyDescent="0.3">
      <c r="A31" s="465" t="s">
        <v>455</v>
      </c>
      <c r="B31" s="425"/>
      <c r="C31" s="425"/>
      <c r="D31" s="427"/>
      <c r="E31" s="427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</row>
    <row r="32" spans="1:30" ht="19.5" thickTop="1" x14ac:dyDescent="0.25">
      <c r="A32" s="469" t="s">
        <v>461</v>
      </c>
      <c r="B32" s="428">
        <v>1</v>
      </c>
      <c r="C32" s="429">
        <v>3</v>
      </c>
      <c r="D32" s="430">
        <v>6</v>
      </c>
      <c r="E32" s="431">
        <v>9</v>
      </c>
      <c r="F32" s="425"/>
      <c r="G32" s="669" t="s">
        <v>484</v>
      </c>
      <c r="H32" s="670"/>
      <c r="I32" s="670"/>
      <c r="J32" s="670"/>
      <c r="K32" s="671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</row>
    <row r="33" spans="1:30" ht="24" x14ac:dyDescent="0.25">
      <c r="A33" s="463" t="s">
        <v>462</v>
      </c>
      <c r="B33" s="467" t="s">
        <v>266</v>
      </c>
      <c r="C33" s="467" t="s">
        <v>265</v>
      </c>
      <c r="D33" s="467" t="s">
        <v>264</v>
      </c>
      <c r="E33" s="467" t="s">
        <v>264</v>
      </c>
      <c r="F33" s="425"/>
      <c r="G33" s="672"/>
      <c r="H33" s="673"/>
      <c r="I33" s="673"/>
      <c r="J33" s="673"/>
      <c r="K33" s="674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</row>
    <row r="34" spans="1:30" ht="24.75" thickBot="1" x14ac:dyDescent="0.3">
      <c r="A34" s="463" t="s">
        <v>458</v>
      </c>
      <c r="B34" s="467" t="s">
        <v>268</v>
      </c>
      <c r="C34" s="467" t="s">
        <v>374</v>
      </c>
      <c r="D34" s="467" t="s">
        <v>375</v>
      </c>
      <c r="E34" s="467" t="s">
        <v>267</v>
      </c>
      <c r="F34" s="425"/>
      <c r="G34" s="675"/>
      <c r="H34" s="676"/>
      <c r="I34" s="676"/>
      <c r="J34" s="676"/>
      <c r="K34" s="677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</row>
    <row r="35" spans="1:30" ht="24.75" thickTop="1" x14ac:dyDescent="0.25">
      <c r="A35" s="463" t="s">
        <v>457</v>
      </c>
      <c r="B35" s="467" t="s">
        <v>468</v>
      </c>
      <c r="C35" s="467" t="s">
        <v>470</v>
      </c>
      <c r="D35" s="467" t="s">
        <v>469</v>
      </c>
      <c r="E35" s="467" t="s">
        <v>467</v>
      </c>
      <c r="F35" s="425"/>
      <c r="G35" s="471" t="s">
        <v>483</v>
      </c>
      <c r="H35" s="470"/>
      <c r="I35" s="470"/>
      <c r="J35" s="470"/>
      <c r="K35" s="472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</row>
    <row r="36" spans="1:30" ht="24" x14ac:dyDescent="0.25">
      <c r="A36" s="463" t="s">
        <v>459</v>
      </c>
      <c r="B36" s="467" t="s">
        <v>468</v>
      </c>
      <c r="C36" s="467" t="s">
        <v>470</v>
      </c>
      <c r="D36" s="467" t="s">
        <v>469</v>
      </c>
      <c r="E36" s="467" t="s">
        <v>467</v>
      </c>
      <c r="F36" s="425"/>
      <c r="G36" s="471" t="s">
        <v>481</v>
      </c>
      <c r="H36" s="470"/>
      <c r="I36" s="470"/>
      <c r="J36" s="470"/>
      <c r="K36" s="472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</row>
    <row r="37" spans="1:30" ht="24.75" thickBot="1" x14ac:dyDescent="0.3">
      <c r="A37" s="463" t="s">
        <v>460</v>
      </c>
      <c r="B37" s="467" t="s">
        <v>366</v>
      </c>
      <c r="C37" s="467" t="s">
        <v>367</v>
      </c>
      <c r="D37" s="467" t="s">
        <v>368</v>
      </c>
      <c r="E37" s="467" t="s">
        <v>369</v>
      </c>
      <c r="F37" s="425"/>
      <c r="G37" s="473" t="s">
        <v>482</v>
      </c>
      <c r="H37" s="474"/>
      <c r="I37" s="474"/>
      <c r="J37" s="474"/>
      <c r="K37" s="47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</row>
    <row r="38" spans="1:30" ht="24.75" thickTop="1" x14ac:dyDescent="0.25">
      <c r="A38" s="463" t="s">
        <v>463</v>
      </c>
      <c r="B38" s="467" t="s">
        <v>379</v>
      </c>
      <c r="C38" s="468" t="s">
        <v>378</v>
      </c>
      <c r="D38" s="468" t="s">
        <v>380</v>
      </c>
      <c r="E38" s="467" t="s">
        <v>381</v>
      </c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</row>
    <row r="39" spans="1:30" ht="24" x14ac:dyDescent="0.25">
      <c r="A39" s="463" t="s">
        <v>465</v>
      </c>
      <c r="B39" s="467" t="s">
        <v>464</v>
      </c>
      <c r="C39" s="467" t="s">
        <v>376</v>
      </c>
      <c r="D39" s="467" t="s">
        <v>377</v>
      </c>
      <c r="E39" s="467" t="s">
        <v>373</v>
      </c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</row>
    <row r="40" spans="1:30" ht="24" x14ac:dyDescent="0.25">
      <c r="A40" s="463" t="s">
        <v>456</v>
      </c>
      <c r="B40" s="467" t="s">
        <v>370</v>
      </c>
      <c r="C40" s="467" t="s">
        <v>371</v>
      </c>
      <c r="D40" s="467" t="s">
        <v>372</v>
      </c>
      <c r="E40" s="467" t="s">
        <v>410</v>
      </c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</row>
    <row r="41" spans="1:30" ht="36" x14ac:dyDescent="0.25">
      <c r="A41" s="463" t="s">
        <v>466</v>
      </c>
      <c r="B41" s="467" t="s">
        <v>477</v>
      </c>
      <c r="C41" s="467" t="s">
        <v>476</v>
      </c>
      <c r="D41" s="467" t="s">
        <v>479</v>
      </c>
      <c r="E41" s="467" t="s">
        <v>478</v>
      </c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</row>
    <row r="42" spans="1:30" ht="36" x14ac:dyDescent="0.25">
      <c r="A42" s="463" t="s">
        <v>471</v>
      </c>
      <c r="B42" s="467" t="s">
        <v>473</v>
      </c>
      <c r="C42" s="467" t="s">
        <v>474</v>
      </c>
      <c r="D42" s="467" t="s">
        <v>472</v>
      </c>
      <c r="E42" s="467" t="s">
        <v>475</v>
      </c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</row>
    <row r="43" spans="1:30" ht="36" x14ac:dyDescent="0.25">
      <c r="A43" s="463" t="s">
        <v>480</v>
      </c>
      <c r="B43" s="467" t="s">
        <v>473</v>
      </c>
      <c r="C43" s="467" t="s">
        <v>474</v>
      </c>
      <c r="D43" s="467" t="s">
        <v>472</v>
      </c>
      <c r="E43" s="467" t="s">
        <v>475</v>
      </c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</row>
    <row r="44" spans="1:30" x14ac:dyDescent="0.25">
      <c r="A44" s="464"/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</row>
    <row r="45" spans="1:30" x14ac:dyDescent="0.25">
      <c r="A45" s="464"/>
      <c r="B45" s="425"/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</row>
    <row r="46" spans="1:30" x14ac:dyDescent="0.25">
      <c r="A46" s="464"/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</row>
    <row r="47" spans="1:30" x14ac:dyDescent="0.25">
      <c r="A47" s="464"/>
      <c r="B47" s="425"/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425"/>
    </row>
    <row r="48" spans="1:30" x14ac:dyDescent="0.25">
      <c r="A48" s="464"/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425"/>
    </row>
    <row r="49" spans="1:30" x14ac:dyDescent="0.25">
      <c r="A49" s="464"/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</row>
    <row r="50" spans="1:30" x14ac:dyDescent="0.25">
      <c r="A50" s="464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</row>
    <row r="51" spans="1:30" x14ac:dyDescent="0.25">
      <c r="A51" s="464"/>
      <c r="B51" s="425"/>
      <c r="C51" s="425"/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</row>
    <row r="52" spans="1:30" x14ac:dyDescent="0.25">
      <c r="A52" s="464"/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425"/>
    </row>
    <row r="53" spans="1:30" x14ac:dyDescent="0.25">
      <c r="A53" s="464"/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</row>
    <row r="54" spans="1:30" x14ac:dyDescent="0.25">
      <c r="A54" s="464"/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</row>
    <row r="55" spans="1:30" x14ac:dyDescent="0.25">
      <c r="A55" s="464"/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</row>
    <row r="56" spans="1:30" x14ac:dyDescent="0.25">
      <c r="A56" s="464"/>
      <c r="B56" s="425"/>
      <c r="C56" s="425"/>
      <c r="D56" s="425"/>
      <c r="E56" s="425"/>
      <c r="F56" s="425"/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</row>
    <row r="57" spans="1:30" x14ac:dyDescent="0.25">
      <c r="A57" s="464"/>
      <c r="B57" s="425"/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</row>
    <row r="58" spans="1:30" x14ac:dyDescent="0.25">
      <c r="A58" s="464"/>
      <c r="B58" s="425"/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</row>
    <row r="59" spans="1:30" x14ac:dyDescent="0.25">
      <c r="A59" s="464"/>
      <c r="B59" s="425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</row>
    <row r="60" spans="1:30" x14ac:dyDescent="0.25">
      <c r="A60" s="464"/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</row>
    <row r="61" spans="1:30" x14ac:dyDescent="0.25">
      <c r="A61" s="464"/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</row>
    <row r="62" spans="1:30" x14ac:dyDescent="0.25">
      <c r="A62" s="464"/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</row>
    <row r="63" spans="1:30" x14ac:dyDescent="0.25">
      <c r="A63" s="464"/>
      <c r="B63" s="425"/>
      <c r="C63" s="425"/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</row>
    <row r="64" spans="1:30" x14ac:dyDescent="0.25">
      <c r="A64" s="464"/>
      <c r="B64" s="425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</row>
    <row r="65" spans="1:30" x14ac:dyDescent="0.25">
      <c r="A65" s="464"/>
      <c r="B65" s="425"/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</row>
    <row r="66" spans="1:30" x14ac:dyDescent="0.25">
      <c r="A66" s="464"/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</row>
    <row r="67" spans="1:30" x14ac:dyDescent="0.25">
      <c r="A67" s="464"/>
      <c r="B67" s="425"/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</row>
    <row r="68" spans="1:30" x14ac:dyDescent="0.25">
      <c r="A68" s="464"/>
      <c r="B68" s="425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</row>
    <row r="69" spans="1:30" x14ac:dyDescent="0.25">
      <c r="A69" s="464"/>
      <c r="B69" s="425"/>
      <c r="C69" s="425"/>
      <c r="D69" s="425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</row>
    <row r="70" spans="1:30" x14ac:dyDescent="0.25">
      <c r="A70" s="464"/>
      <c r="B70" s="425"/>
      <c r="C70" s="425"/>
      <c r="D70" s="425"/>
      <c r="E70" s="425"/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</row>
    <row r="71" spans="1:30" x14ac:dyDescent="0.25">
      <c r="A71" s="464"/>
      <c r="B71" s="425"/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</row>
    <row r="72" spans="1:30" x14ac:dyDescent="0.25">
      <c r="A72" s="464"/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</row>
    <row r="73" spans="1:30" x14ac:dyDescent="0.25">
      <c r="A73" s="464"/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</row>
    <row r="74" spans="1:30" x14ac:dyDescent="0.25">
      <c r="A74" s="464"/>
      <c r="B74" s="425"/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</row>
    <row r="75" spans="1:30" x14ac:dyDescent="0.25">
      <c r="A75" s="464"/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</row>
    <row r="76" spans="1:30" x14ac:dyDescent="0.25">
      <c r="A76" s="464"/>
      <c r="B76" s="425"/>
      <c r="C76" s="425"/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</row>
    <row r="77" spans="1:30" x14ac:dyDescent="0.25">
      <c r="A77" s="464"/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</row>
    <row r="78" spans="1:30" x14ac:dyDescent="0.25">
      <c r="A78" s="464"/>
      <c r="B78" s="425"/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</row>
    <row r="79" spans="1:30" x14ac:dyDescent="0.25">
      <c r="A79" s="464"/>
      <c r="B79" s="425"/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</row>
    <row r="80" spans="1:30" x14ac:dyDescent="0.25">
      <c r="A80" s="464"/>
      <c r="B80" s="425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</row>
    <row r="81" spans="1:30" x14ac:dyDescent="0.25">
      <c r="A81" s="464"/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</row>
    <row r="82" spans="1:30" x14ac:dyDescent="0.25">
      <c r="A82" s="464"/>
      <c r="B82" s="425"/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</row>
    <row r="83" spans="1:30" x14ac:dyDescent="0.25">
      <c r="A83" s="464"/>
      <c r="B83" s="425"/>
      <c r="C83" s="425"/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</row>
    <row r="84" spans="1:30" x14ac:dyDescent="0.25">
      <c r="A84" s="464"/>
      <c r="B84" s="425"/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425"/>
      <c r="O84" s="425"/>
      <c r="P84" s="425"/>
      <c r="Q84" s="425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</row>
    <row r="85" spans="1:30" x14ac:dyDescent="0.25">
      <c r="A85" s="464"/>
      <c r="B85" s="425"/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</row>
    <row r="86" spans="1:30" x14ac:dyDescent="0.25">
      <c r="A86" s="464"/>
      <c r="B86" s="425"/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</row>
    <row r="87" spans="1:30" x14ac:dyDescent="0.25">
      <c r="A87" s="464"/>
      <c r="B87" s="425"/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</row>
    <row r="88" spans="1:30" x14ac:dyDescent="0.25">
      <c r="A88" s="464"/>
      <c r="B88" s="425"/>
      <c r="C88" s="425"/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</row>
    <row r="89" spans="1:30" x14ac:dyDescent="0.25">
      <c r="A89" s="464"/>
      <c r="B89" s="425"/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</row>
    <row r="90" spans="1:30" x14ac:dyDescent="0.25">
      <c r="A90" s="464"/>
      <c r="B90" s="425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638">
        <f ca="1">TODAY()</f>
        <v>43635</v>
      </c>
      <c r="N90" s="639"/>
      <c r="O90" s="639"/>
      <c r="P90" s="639"/>
      <c r="Q90" s="425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</row>
    <row r="91" spans="1:30" x14ac:dyDescent="0.25">
      <c r="A91" s="464"/>
      <c r="B91" s="425"/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639"/>
      <c r="N91" s="639"/>
      <c r="O91" s="639"/>
      <c r="P91" s="639"/>
      <c r="Q91" s="425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</row>
    <row r="92" spans="1:30" x14ac:dyDescent="0.25">
      <c r="A92" s="464"/>
      <c r="B92" s="425"/>
      <c r="C92" s="425"/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5"/>
      <c r="P92" s="425"/>
      <c r="Q92" s="425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</row>
    <row r="93" spans="1:30" x14ac:dyDescent="0.25">
      <c r="S93" t="s">
        <v>408</v>
      </c>
    </row>
    <row r="94" spans="1:30" x14ac:dyDescent="0.25">
      <c r="B94" t="s">
        <v>409</v>
      </c>
      <c r="C94" t="s">
        <v>407</v>
      </c>
    </row>
    <row r="101" spans="9:9" x14ac:dyDescent="0.25">
      <c r="I101">
        <v>500000</v>
      </c>
    </row>
    <row r="102" spans="9:9" x14ac:dyDescent="0.25">
      <c r="I102">
        <f>I101/(2*2000)</f>
        <v>125</v>
      </c>
    </row>
    <row r="104" spans="9:9" x14ac:dyDescent="0.25">
      <c r="I104" s="411">
        <v>2600000</v>
      </c>
    </row>
    <row r="105" spans="9:9" x14ac:dyDescent="0.25">
      <c r="I105">
        <f>178000+188000</f>
        <v>366000</v>
      </c>
    </row>
    <row r="106" spans="9:9" x14ac:dyDescent="0.25">
      <c r="I106" s="412">
        <f>I104/I105</f>
        <v>7.1038251366120218</v>
      </c>
    </row>
  </sheetData>
  <autoFilter ref="A5:AD16">
    <filterColumn colId="6" showButton="0"/>
    <filterColumn colId="8" showButton="0"/>
    <filterColumn colId="13" showButton="0"/>
    <filterColumn colId="20" showButton="0"/>
    <filterColumn colId="25" showButton="0"/>
    <filterColumn colId="26" showButton="0"/>
    <filterColumn colId="28" showButton="0"/>
  </autoFilter>
  <mergeCells count="84">
    <mergeCell ref="G32:K34"/>
    <mergeCell ref="U26:V26"/>
    <mergeCell ref="Z26:AB26"/>
    <mergeCell ref="AC26:AD26"/>
    <mergeCell ref="N27:O27"/>
    <mergeCell ref="U27:V27"/>
    <mergeCell ref="Z27:AB27"/>
    <mergeCell ref="AC27:AD27"/>
    <mergeCell ref="U24:V24"/>
    <mergeCell ref="Z24:AB24"/>
    <mergeCell ref="AC24:AD24"/>
    <mergeCell ref="N25:O25"/>
    <mergeCell ref="U25:V25"/>
    <mergeCell ref="Z25:AB25"/>
    <mergeCell ref="AC25:AD25"/>
    <mergeCell ref="B23:C23"/>
    <mergeCell ref="E23:F23"/>
    <mergeCell ref="H23:I23"/>
    <mergeCell ref="J23:L23"/>
    <mergeCell ref="G24:H24"/>
    <mergeCell ref="I24:J24"/>
    <mergeCell ref="J4:L4"/>
    <mergeCell ref="A21:A22"/>
    <mergeCell ref="B21:Q21"/>
    <mergeCell ref="R21:U21"/>
    <mergeCell ref="V21:AD21"/>
    <mergeCell ref="C22:E22"/>
    <mergeCell ref="F22:M22"/>
    <mergeCell ref="N22:P22"/>
    <mergeCell ref="Q22:R22"/>
    <mergeCell ref="U22:V22"/>
    <mergeCell ref="Z22:AB22"/>
    <mergeCell ref="AC22:AD22"/>
    <mergeCell ref="AC6:AD6"/>
    <mergeCell ref="U6:V6"/>
    <mergeCell ref="G5:H5"/>
    <mergeCell ref="I5:J5"/>
    <mergeCell ref="A2:A3"/>
    <mergeCell ref="B1:C1"/>
    <mergeCell ref="B4:C4"/>
    <mergeCell ref="E4:F4"/>
    <mergeCell ref="H4:I4"/>
    <mergeCell ref="V2:AD2"/>
    <mergeCell ref="C3:E3"/>
    <mergeCell ref="F3:M3"/>
    <mergeCell ref="U3:V3"/>
    <mergeCell ref="Z3:AB3"/>
    <mergeCell ref="AC3:AD3"/>
    <mergeCell ref="N3:P3"/>
    <mergeCell ref="B2:P2"/>
    <mergeCell ref="S2:U2"/>
    <mergeCell ref="U5:V5"/>
    <mergeCell ref="Z5:AB5"/>
    <mergeCell ref="AC5:AD5"/>
    <mergeCell ref="N5:O5"/>
    <mergeCell ref="N6:O6"/>
    <mergeCell ref="Z6:AB6"/>
    <mergeCell ref="AC10:AD10"/>
    <mergeCell ref="U10:V10"/>
    <mergeCell ref="U7:V7"/>
    <mergeCell ref="Z7:AB7"/>
    <mergeCell ref="AC7:AD7"/>
    <mergeCell ref="Z10:AB10"/>
    <mergeCell ref="AC11:AD11"/>
    <mergeCell ref="Z11:AB11"/>
    <mergeCell ref="AC19:AD19"/>
    <mergeCell ref="U15:V15"/>
    <mergeCell ref="Z15:AB15"/>
    <mergeCell ref="AC15:AD15"/>
    <mergeCell ref="U19:V19"/>
    <mergeCell ref="Z19:AB19"/>
    <mergeCell ref="U11:V11"/>
    <mergeCell ref="U18:V18"/>
    <mergeCell ref="Z18:AB18"/>
    <mergeCell ref="AC18:AD18"/>
    <mergeCell ref="M90:P91"/>
    <mergeCell ref="N7:O7"/>
    <mergeCell ref="N10:O10"/>
    <mergeCell ref="N15:O15"/>
    <mergeCell ref="N19:O19"/>
    <mergeCell ref="N11:O11"/>
    <mergeCell ref="N18:O18"/>
    <mergeCell ref="N24:O24"/>
    <mergeCell ref="N26:O26"/>
  </mergeCells>
  <conditionalFormatting sqref="B18:N18 P18:T18 W18:Z18 B6:AD9 B11:AD14 B16:AD17 AC15:AD15 B15:Z15">
    <cfRule type="cellIs" dxfId="11" priority="13" operator="equal">
      <formula>$E$32</formula>
    </cfRule>
    <cfRule type="cellIs" dxfId="10" priority="14" operator="equal">
      <formula>$D$32</formula>
    </cfRule>
    <cfRule type="cellIs" dxfId="9" priority="15" operator="equal">
      <formula>$C$32</formula>
    </cfRule>
    <cfRule type="cellIs" dxfId="8" priority="16" operator="equal">
      <formula>$B$32</formula>
    </cfRule>
  </conditionalFormatting>
  <conditionalFormatting sqref="B10:AD1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8">
    <cfRule type="cellIs" dxfId="7" priority="8" operator="equal">
      <formula>$E$32</formula>
    </cfRule>
    <cfRule type="cellIs" dxfId="6" priority="9" operator="equal">
      <formula>$D$32</formula>
    </cfRule>
    <cfRule type="cellIs" dxfId="5" priority="10" operator="equal">
      <formula>$C$32</formula>
    </cfRule>
    <cfRule type="cellIs" dxfId="4" priority="11" operator="equal">
      <formula>$B$32</formula>
    </cfRule>
  </conditionalFormatting>
  <conditionalFormatting sqref="AC18">
    <cfRule type="cellIs" dxfId="3" priority="4" operator="equal">
      <formula>$E$32</formula>
    </cfRule>
    <cfRule type="cellIs" dxfId="2" priority="5" operator="equal">
      <formula>$D$32</formula>
    </cfRule>
    <cfRule type="cellIs" dxfId="1" priority="6" operator="equal">
      <formula>$C$32</formula>
    </cfRule>
    <cfRule type="cellIs" dxfId="0" priority="7" operator="equal">
      <formula>$B$32</formula>
    </cfRule>
  </conditionalFormatting>
  <conditionalFormatting sqref="B18:AD1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AD1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AD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8" fitToWidth="0" orientation="portrait" r:id="rId1"/>
  <ignoredErrors>
    <ignoredError sqref="D6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106" workbookViewId="0">
      <selection activeCell="H122" sqref="H122"/>
    </sheetView>
  </sheetViews>
  <sheetFormatPr defaultRowHeight="15" x14ac:dyDescent="0.25"/>
  <cols>
    <col min="1" max="1" width="29.140625" bestFit="1" customWidth="1"/>
    <col min="2" max="2" width="20" bestFit="1" customWidth="1"/>
    <col min="4" max="4" width="20.28515625" customWidth="1"/>
    <col min="5" max="5" width="31.7109375" customWidth="1"/>
  </cols>
  <sheetData>
    <row r="1" spans="1:5" x14ac:dyDescent="0.25">
      <c r="A1" t="s">
        <v>413</v>
      </c>
      <c r="B1" s="441">
        <v>-30</v>
      </c>
    </row>
    <row r="3" spans="1:5" x14ac:dyDescent="0.25">
      <c r="B3" s="681" t="s">
        <v>41</v>
      </c>
      <c r="C3" s="681"/>
      <c r="D3" s="681"/>
      <c r="E3" s="681"/>
    </row>
    <row r="4" spans="1:5" x14ac:dyDescent="0.25">
      <c r="A4" t="s">
        <v>414</v>
      </c>
      <c r="E4" s="442">
        <v>10000</v>
      </c>
    </row>
    <row r="5" spans="1:5" x14ac:dyDescent="0.25">
      <c r="A5" t="s">
        <v>415</v>
      </c>
      <c r="E5" s="443">
        <f>$B$1*E4</f>
        <v>-300000</v>
      </c>
    </row>
    <row r="6" spans="1:5" x14ac:dyDescent="0.25">
      <c r="A6" t="s">
        <v>416</v>
      </c>
      <c r="B6" t="s">
        <v>417</v>
      </c>
      <c r="C6" s="444">
        <v>0.1</v>
      </c>
      <c r="D6" s="445">
        <v>500</v>
      </c>
      <c r="E6" s="443">
        <f>C6*E4*D6</f>
        <v>500000</v>
      </c>
    </row>
    <row r="7" spans="1:5" x14ac:dyDescent="0.25">
      <c r="B7" t="s">
        <v>418</v>
      </c>
      <c r="C7" s="444">
        <v>0.3</v>
      </c>
      <c r="D7" s="445">
        <v>30</v>
      </c>
      <c r="E7" s="443">
        <f>C7*E4*D7</f>
        <v>90000</v>
      </c>
    </row>
    <row r="8" spans="1:5" x14ac:dyDescent="0.25">
      <c r="B8" t="s">
        <v>419</v>
      </c>
      <c r="C8" s="444">
        <v>0.28000000000000003</v>
      </c>
      <c r="D8" s="445">
        <v>30</v>
      </c>
      <c r="E8" s="443">
        <f>C8*E4*D8</f>
        <v>84000.000000000015</v>
      </c>
    </row>
    <row r="9" spans="1:5" x14ac:dyDescent="0.25">
      <c r="B9" t="s">
        <v>420</v>
      </c>
      <c r="C9" s="444">
        <v>0.1</v>
      </c>
      <c r="D9" s="445">
        <v>-2</v>
      </c>
      <c r="E9" s="443">
        <f>C9*E4*D9</f>
        <v>-2000</v>
      </c>
    </row>
    <row r="10" spans="1:5" x14ac:dyDescent="0.25">
      <c r="B10" t="s">
        <v>436</v>
      </c>
      <c r="C10" s="444">
        <v>0.02</v>
      </c>
      <c r="D10" s="445">
        <v>500</v>
      </c>
      <c r="E10" s="443">
        <f>C10*E4*D10</f>
        <v>100000</v>
      </c>
    </row>
    <row r="11" spans="1:5" x14ac:dyDescent="0.25">
      <c r="B11" t="s">
        <v>421</v>
      </c>
      <c r="C11" s="446">
        <f>C12-SUM(C6:C10)</f>
        <v>0.19999999999999996</v>
      </c>
      <c r="D11" s="445">
        <v>0</v>
      </c>
      <c r="E11" s="443">
        <f>C11*E4*D11</f>
        <v>0</v>
      </c>
    </row>
    <row r="12" spans="1:5" x14ac:dyDescent="0.25">
      <c r="B12" t="s">
        <v>397</v>
      </c>
      <c r="C12" s="72">
        <v>1</v>
      </c>
      <c r="D12" s="72"/>
    </row>
    <row r="14" spans="1:5" x14ac:dyDescent="0.25">
      <c r="B14" t="s">
        <v>422</v>
      </c>
      <c r="E14" s="447">
        <f>-E5+SUM(E6:E11)</f>
        <v>1072000</v>
      </c>
    </row>
    <row r="16" spans="1:5" x14ac:dyDescent="0.25">
      <c r="B16" s="681" t="s">
        <v>42</v>
      </c>
      <c r="C16" s="681"/>
      <c r="D16" s="681"/>
      <c r="E16" s="681"/>
    </row>
    <row r="17" spans="1:5" x14ac:dyDescent="0.25">
      <c r="A17" t="s">
        <v>414</v>
      </c>
      <c r="E17" s="442">
        <v>10000</v>
      </c>
    </row>
    <row r="18" spans="1:5" x14ac:dyDescent="0.25">
      <c r="A18" t="s">
        <v>415</v>
      </c>
      <c r="E18" s="443">
        <f>$B$1*E17</f>
        <v>-300000</v>
      </c>
    </row>
    <row r="19" spans="1:5" x14ac:dyDescent="0.25">
      <c r="A19" t="s">
        <v>416</v>
      </c>
      <c r="B19" t="s">
        <v>426</v>
      </c>
      <c r="C19" s="444">
        <v>0.05</v>
      </c>
      <c r="D19" s="445">
        <v>1000</v>
      </c>
      <c r="E19" s="443">
        <f>C19*E17*D19</f>
        <v>500000</v>
      </c>
    </row>
    <row r="20" spans="1:5" x14ac:dyDescent="0.25">
      <c r="B20" t="s">
        <v>418</v>
      </c>
      <c r="C20" s="444">
        <v>0.3</v>
      </c>
      <c r="D20" s="445">
        <v>30</v>
      </c>
      <c r="E20" s="443">
        <f>C20*E17*D20</f>
        <v>90000</v>
      </c>
    </row>
    <row r="21" spans="1:5" x14ac:dyDescent="0.25">
      <c r="B21" t="s">
        <v>419</v>
      </c>
      <c r="C21" s="444">
        <v>0.3</v>
      </c>
      <c r="D21" s="445">
        <v>30</v>
      </c>
      <c r="E21" s="443">
        <f>C21*E17*D21</f>
        <v>90000</v>
      </c>
    </row>
    <row r="22" spans="1:5" x14ac:dyDescent="0.25">
      <c r="B22" t="s">
        <v>420</v>
      </c>
      <c r="C22" s="444">
        <v>0.1</v>
      </c>
      <c r="D22" s="445">
        <v>-2</v>
      </c>
      <c r="E22" s="443">
        <f>C22*E17*D22</f>
        <v>-2000</v>
      </c>
    </row>
    <row r="23" spans="1:5" x14ac:dyDescent="0.25">
      <c r="B23" t="s">
        <v>421</v>
      </c>
      <c r="C23" s="446">
        <f>C24-SUM(C19:C22)</f>
        <v>0.25000000000000011</v>
      </c>
      <c r="D23" s="445">
        <v>0</v>
      </c>
      <c r="E23" s="443">
        <f>C23*E17*D23</f>
        <v>0</v>
      </c>
    </row>
    <row r="24" spans="1:5" x14ac:dyDescent="0.25">
      <c r="B24" t="s">
        <v>397</v>
      </c>
      <c r="C24" s="72">
        <v>1</v>
      </c>
      <c r="D24" s="72"/>
    </row>
    <row r="26" spans="1:5" x14ac:dyDescent="0.25">
      <c r="B26" t="s">
        <v>422</v>
      </c>
      <c r="E26" s="447">
        <f>-E18+SUM(E19:E23)</f>
        <v>978000</v>
      </c>
    </row>
    <row r="28" spans="1:5" x14ac:dyDescent="0.25">
      <c r="B28" s="681" t="s">
        <v>57</v>
      </c>
      <c r="C28" s="681"/>
      <c r="D28" s="681"/>
      <c r="E28" s="681"/>
    </row>
    <row r="29" spans="1:5" x14ac:dyDescent="0.25">
      <c r="A29" t="s">
        <v>414</v>
      </c>
      <c r="E29" s="442">
        <v>10000</v>
      </c>
    </row>
    <row r="30" spans="1:5" x14ac:dyDescent="0.25">
      <c r="A30" t="s">
        <v>415</v>
      </c>
      <c r="E30" s="443">
        <f>$B$1*E29</f>
        <v>-300000</v>
      </c>
    </row>
    <row r="31" spans="1:5" x14ac:dyDescent="0.25">
      <c r="A31" t="s">
        <v>416</v>
      </c>
      <c r="B31" t="s">
        <v>57</v>
      </c>
      <c r="C31" s="444">
        <v>2.5000000000000001E-2</v>
      </c>
      <c r="D31" s="445">
        <v>1500</v>
      </c>
      <c r="E31" s="443">
        <f>C31*E29*D31</f>
        <v>375000</v>
      </c>
    </row>
    <row r="32" spans="1:5" x14ac:dyDescent="0.25">
      <c r="B32" t="s">
        <v>423</v>
      </c>
      <c r="C32" s="444">
        <v>0.3</v>
      </c>
      <c r="D32" s="445">
        <v>30</v>
      </c>
      <c r="E32" s="443">
        <f>C32*E29*D32</f>
        <v>90000</v>
      </c>
    </row>
    <row r="33" spans="1:5" x14ac:dyDescent="0.25">
      <c r="B33" t="s">
        <v>425</v>
      </c>
      <c r="C33" s="444">
        <v>0.1</v>
      </c>
      <c r="D33" s="445">
        <v>200</v>
      </c>
      <c r="E33" s="443">
        <f>C33*E29*D33</f>
        <v>200000</v>
      </c>
    </row>
    <row r="34" spans="1:5" x14ac:dyDescent="0.25">
      <c r="B34" t="s">
        <v>424</v>
      </c>
      <c r="C34" s="444">
        <v>0.4</v>
      </c>
      <c r="D34" s="445">
        <v>10</v>
      </c>
      <c r="E34" s="443">
        <f>C34*E29*D34</f>
        <v>40000</v>
      </c>
    </row>
    <row r="35" spans="1:5" x14ac:dyDescent="0.25">
      <c r="B35" t="s">
        <v>421</v>
      </c>
      <c r="C35" s="446">
        <f>C36-SUM(C31:C34)</f>
        <v>0.17499999999999993</v>
      </c>
      <c r="D35" s="445">
        <v>0</v>
      </c>
      <c r="E35" s="443">
        <f>C35*E29*D35</f>
        <v>0</v>
      </c>
    </row>
    <row r="36" spans="1:5" x14ac:dyDescent="0.25">
      <c r="B36" t="s">
        <v>397</v>
      </c>
      <c r="C36" s="72">
        <v>1</v>
      </c>
      <c r="D36" s="72"/>
    </row>
    <row r="38" spans="1:5" x14ac:dyDescent="0.25">
      <c r="B38" t="s">
        <v>422</v>
      </c>
      <c r="E38" s="447">
        <f>-E30+SUM(E31:E35)</f>
        <v>1005000</v>
      </c>
    </row>
    <row r="40" spans="1:5" x14ac:dyDescent="0.25">
      <c r="B40" s="681" t="s">
        <v>140</v>
      </c>
      <c r="C40" s="681"/>
      <c r="D40" s="681"/>
      <c r="E40" s="681"/>
    </row>
    <row r="41" spans="1:5" x14ac:dyDescent="0.25">
      <c r="A41" t="s">
        <v>414</v>
      </c>
      <c r="E41" s="442">
        <v>10000</v>
      </c>
    </row>
    <row r="42" spans="1:5" x14ac:dyDescent="0.25">
      <c r="A42" t="s">
        <v>415</v>
      </c>
      <c r="E42" s="443">
        <f>$B$1*E41</f>
        <v>-300000</v>
      </c>
    </row>
    <row r="43" spans="1:5" x14ac:dyDescent="0.25">
      <c r="A43" t="s">
        <v>416</v>
      </c>
      <c r="B43" t="s">
        <v>427</v>
      </c>
      <c r="C43" s="444">
        <v>0.25</v>
      </c>
      <c r="D43" s="445">
        <v>150</v>
      </c>
      <c r="E43" s="443">
        <f>C43*E41*D43</f>
        <v>375000</v>
      </c>
    </row>
    <row r="44" spans="1:5" x14ac:dyDescent="0.25">
      <c r="B44" t="s">
        <v>428</v>
      </c>
      <c r="C44" s="444">
        <v>0.25</v>
      </c>
      <c r="D44" s="445">
        <v>-2</v>
      </c>
      <c r="E44" s="443">
        <f>C44*E41*D44</f>
        <v>-5000</v>
      </c>
    </row>
    <row r="45" spans="1:5" x14ac:dyDescent="0.25">
      <c r="B45" t="s">
        <v>421</v>
      </c>
      <c r="C45" s="446">
        <f>C46-SUM(C43:C44)</f>
        <v>0.5</v>
      </c>
      <c r="D45" s="445">
        <v>0</v>
      </c>
      <c r="E45" s="443">
        <f>C45*E41*D45</f>
        <v>0</v>
      </c>
    </row>
    <row r="46" spans="1:5" x14ac:dyDescent="0.25">
      <c r="B46" t="s">
        <v>397</v>
      </c>
      <c r="C46" s="72">
        <v>1</v>
      </c>
      <c r="D46" s="72"/>
      <c r="E46" s="443"/>
    </row>
    <row r="47" spans="1:5" x14ac:dyDescent="0.25">
      <c r="E47" s="443"/>
    </row>
    <row r="48" spans="1:5" x14ac:dyDescent="0.25">
      <c r="B48" t="s">
        <v>422</v>
      </c>
      <c r="E48" s="447">
        <f>-E42+SUM(E43:E45)</f>
        <v>670000</v>
      </c>
    </row>
    <row r="50" spans="1:5" x14ac:dyDescent="0.25">
      <c r="B50" s="681" t="s">
        <v>429</v>
      </c>
      <c r="C50" s="681"/>
      <c r="D50" s="681"/>
      <c r="E50" s="681"/>
    </row>
    <row r="51" spans="1:5" x14ac:dyDescent="0.25">
      <c r="A51" t="s">
        <v>414</v>
      </c>
      <c r="E51" s="442">
        <v>10000</v>
      </c>
    </row>
    <row r="52" spans="1:5" x14ac:dyDescent="0.25">
      <c r="A52" t="s">
        <v>415</v>
      </c>
      <c r="E52" s="443">
        <f>$B$1*E51</f>
        <v>-300000</v>
      </c>
    </row>
    <row r="53" spans="1:5" x14ac:dyDescent="0.25">
      <c r="A53" t="s">
        <v>416</v>
      </c>
      <c r="B53" t="s">
        <v>323</v>
      </c>
      <c r="C53" s="444">
        <v>0.25</v>
      </c>
      <c r="D53" s="445">
        <v>50</v>
      </c>
      <c r="E53" s="443">
        <f>C53*E51*D53</f>
        <v>125000</v>
      </c>
    </row>
    <row r="54" spans="1:5" x14ac:dyDescent="0.25">
      <c r="B54" t="s">
        <v>420</v>
      </c>
      <c r="C54" s="444">
        <v>0.1</v>
      </c>
      <c r="D54" s="445">
        <v>-2</v>
      </c>
      <c r="E54" s="443">
        <f>C54*E51*D54</f>
        <v>-2000</v>
      </c>
    </row>
    <row r="55" spans="1:5" x14ac:dyDescent="0.25">
      <c r="B55" t="s">
        <v>421</v>
      </c>
      <c r="C55" s="446">
        <f>C56-SUM(C53:C54)</f>
        <v>0.65</v>
      </c>
      <c r="D55" s="445">
        <v>0</v>
      </c>
      <c r="E55" s="443">
        <f>C55*E51*D55</f>
        <v>0</v>
      </c>
    </row>
    <row r="56" spans="1:5" x14ac:dyDescent="0.25">
      <c r="B56" t="s">
        <v>397</v>
      </c>
      <c r="C56" s="72">
        <v>1</v>
      </c>
      <c r="D56" s="72"/>
      <c r="E56" s="443"/>
    </row>
    <row r="58" spans="1:5" x14ac:dyDescent="0.25">
      <c r="B58" t="s">
        <v>422</v>
      </c>
      <c r="E58" s="447">
        <f>-E52+SUM(E53:E55)</f>
        <v>423000</v>
      </c>
    </row>
    <row r="60" spans="1:5" x14ac:dyDescent="0.25">
      <c r="B60" s="681" t="s">
        <v>430</v>
      </c>
      <c r="C60" s="681"/>
      <c r="D60" s="681"/>
      <c r="E60" s="681"/>
    </row>
    <row r="61" spans="1:5" x14ac:dyDescent="0.25">
      <c r="A61" t="s">
        <v>414</v>
      </c>
      <c r="E61" s="442">
        <v>10000</v>
      </c>
    </row>
    <row r="62" spans="1:5" x14ac:dyDescent="0.25">
      <c r="A62" t="s">
        <v>415</v>
      </c>
      <c r="E62" s="443">
        <f>$B$1*E61</f>
        <v>-300000</v>
      </c>
    </row>
    <row r="63" spans="1:5" x14ac:dyDescent="0.25">
      <c r="A63" t="s">
        <v>416</v>
      </c>
      <c r="B63" t="s">
        <v>431</v>
      </c>
      <c r="C63" s="444">
        <v>0.25</v>
      </c>
      <c r="D63" s="445">
        <v>200</v>
      </c>
      <c r="E63" s="443">
        <f>C63*E61*D63</f>
        <v>500000</v>
      </c>
    </row>
    <row r="64" spans="1:5" x14ac:dyDescent="0.25">
      <c r="B64" t="s">
        <v>434</v>
      </c>
      <c r="C64" s="444">
        <v>0.1</v>
      </c>
      <c r="D64" s="445">
        <v>200</v>
      </c>
      <c r="E64" s="443">
        <f>C64*E61*D64</f>
        <v>200000</v>
      </c>
    </row>
    <row r="65" spans="1:5" x14ac:dyDescent="0.25">
      <c r="B65" t="s">
        <v>419</v>
      </c>
      <c r="C65" s="444">
        <v>0.3</v>
      </c>
      <c r="D65" s="445">
        <v>30</v>
      </c>
      <c r="E65" s="443">
        <f>C65*E61*D65</f>
        <v>90000</v>
      </c>
    </row>
    <row r="66" spans="1:5" x14ac:dyDescent="0.25">
      <c r="B66" t="s">
        <v>420</v>
      </c>
      <c r="C66" s="444">
        <v>0.2</v>
      </c>
      <c r="D66" s="445">
        <v>-2</v>
      </c>
      <c r="E66" s="443">
        <f>C66*E61*D66</f>
        <v>-4000</v>
      </c>
    </row>
    <row r="67" spans="1:5" x14ac:dyDescent="0.25">
      <c r="B67" t="s">
        <v>421</v>
      </c>
      <c r="C67" s="446">
        <f>C68-SUM(C63:C66)</f>
        <v>0.15000000000000013</v>
      </c>
      <c r="D67" s="445">
        <v>0</v>
      </c>
      <c r="E67" s="443">
        <f>C67*E61*D67</f>
        <v>0</v>
      </c>
    </row>
    <row r="68" spans="1:5" x14ac:dyDescent="0.25">
      <c r="B68" t="s">
        <v>397</v>
      </c>
      <c r="C68" s="72">
        <v>1</v>
      </c>
      <c r="D68" s="72"/>
    </row>
    <row r="70" spans="1:5" x14ac:dyDescent="0.25">
      <c r="B70" t="s">
        <v>422</v>
      </c>
      <c r="E70" s="447">
        <f>-E62+SUM(E63:E67)</f>
        <v>1086000</v>
      </c>
    </row>
    <row r="72" spans="1:5" x14ac:dyDescent="0.25">
      <c r="B72" s="681" t="s">
        <v>432</v>
      </c>
      <c r="C72" s="681"/>
      <c r="D72" s="681"/>
      <c r="E72" s="681"/>
    </row>
    <row r="73" spans="1:5" x14ac:dyDescent="0.25">
      <c r="A73" t="s">
        <v>414</v>
      </c>
      <c r="E73" s="442">
        <v>10000</v>
      </c>
    </row>
    <row r="74" spans="1:5" x14ac:dyDescent="0.25">
      <c r="A74" t="s">
        <v>415</v>
      </c>
      <c r="E74" s="443">
        <f t="shared" ref="E74" si="0">$B$1*E73</f>
        <v>-300000</v>
      </c>
    </row>
    <row r="75" spans="1:5" x14ac:dyDescent="0.25">
      <c r="A75" t="s">
        <v>416</v>
      </c>
      <c r="B75" t="s">
        <v>433</v>
      </c>
      <c r="C75" s="444">
        <v>0.2</v>
      </c>
      <c r="D75" s="445">
        <v>300</v>
      </c>
      <c r="E75" s="443">
        <f>C75*E73*D75</f>
        <v>600000</v>
      </c>
    </row>
    <row r="76" spans="1:5" x14ac:dyDescent="0.25">
      <c r="B76" t="s">
        <v>434</v>
      </c>
      <c r="C76" s="444">
        <v>0.12</v>
      </c>
      <c r="D76" s="445">
        <v>200</v>
      </c>
      <c r="E76" s="443">
        <f>C76*E73*D76</f>
        <v>240000</v>
      </c>
    </row>
    <row r="77" spans="1:5" x14ac:dyDescent="0.25">
      <c r="B77" t="s">
        <v>419</v>
      </c>
      <c r="C77" s="444">
        <v>0.3</v>
      </c>
      <c r="D77" s="445">
        <v>30</v>
      </c>
      <c r="E77" s="443">
        <f>C77*E73*D77</f>
        <v>90000</v>
      </c>
    </row>
    <row r="78" spans="1:5" x14ac:dyDescent="0.25">
      <c r="B78" t="s">
        <v>420</v>
      </c>
      <c r="C78" s="444">
        <v>0.25</v>
      </c>
      <c r="D78" s="445">
        <v>-2</v>
      </c>
      <c r="E78" s="443">
        <f>C78*E73*D78</f>
        <v>-5000</v>
      </c>
    </row>
    <row r="79" spans="1:5" x14ac:dyDescent="0.25">
      <c r="B79" t="s">
        <v>421</v>
      </c>
      <c r="C79" s="446">
        <f t="shared" ref="C79" si="1">C80-SUM(C75:C78)</f>
        <v>0.13</v>
      </c>
      <c r="D79" s="445">
        <v>0</v>
      </c>
      <c r="E79" s="443">
        <f>C79*E73*D79</f>
        <v>0</v>
      </c>
    </row>
    <row r="80" spans="1:5" x14ac:dyDescent="0.25">
      <c r="B80" t="s">
        <v>397</v>
      </c>
      <c r="C80" s="72">
        <v>1</v>
      </c>
      <c r="D80" s="72"/>
    </row>
    <row r="82" spans="1:5" x14ac:dyDescent="0.25">
      <c r="B82" t="s">
        <v>422</v>
      </c>
      <c r="E82" s="447">
        <f t="shared" ref="E82" si="2">-E74+SUM(E75:E79)</f>
        <v>1225000</v>
      </c>
    </row>
    <row r="84" spans="1:5" x14ac:dyDescent="0.25">
      <c r="B84" s="681" t="s">
        <v>45</v>
      </c>
      <c r="C84" s="681"/>
      <c r="D84" s="681"/>
      <c r="E84" s="681"/>
    </row>
    <row r="85" spans="1:5" x14ac:dyDescent="0.25">
      <c r="A85" t="s">
        <v>414</v>
      </c>
      <c r="E85" s="442">
        <v>10000</v>
      </c>
    </row>
    <row r="86" spans="1:5" x14ac:dyDescent="0.25">
      <c r="A86" t="s">
        <v>415</v>
      </c>
      <c r="E86" s="443">
        <f t="shared" ref="E86" si="3">$B$1*E85</f>
        <v>-300000</v>
      </c>
    </row>
    <row r="87" spans="1:5" x14ac:dyDescent="0.25">
      <c r="A87" t="s">
        <v>416</v>
      </c>
      <c r="B87" t="s">
        <v>433</v>
      </c>
      <c r="C87" s="444">
        <v>0.2</v>
      </c>
      <c r="D87" s="445">
        <v>200</v>
      </c>
      <c r="E87" s="443">
        <f>C87*E85*D87</f>
        <v>400000</v>
      </c>
    </row>
    <row r="88" spans="1:5" x14ac:dyDescent="0.25">
      <c r="B88" t="s">
        <v>434</v>
      </c>
      <c r="C88" s="444">
        <v>0.12</v>
      </c>
      <c r="D88" s="445">
        <v>200</v>
      </c>
      <c r="E88" s="443">
        <f>C88*E85*D88</f>
        <v>240000</v>
      </c>
    </row>
    <row r="89" spans="1:5" x14ac:dyDescent="0.25">
      <c r="B89" t="s">
        <v>419</v>
      </c>
      <c r="C89" s="444">
        <v>0.3</v>
      </c>
      <c r="D89" s="445">
        <v>30</v>
      </c>
      <c r="E89" s="443">
        <f>C89*E85*D89</f>
        <v>90000</v>
      </c>
    </row>
    <row r="90" spans="1:5" x14ac:dyDescent="0.25">
      <c r="B90" t="s">
        <v>420</v>
      </c>
      <c r="C90" s="444">
        <v>0.25</v>
      </c>
      <c r="D90" s="445">
        <v>-2</v>
      </c>
      <c r="E90" s="443">
        <f>C90*E85*D90</f>
        <v>-5000</v>
      </c>
    </row>
    <row r="91" spans="1:5" x14ac:dyDescent="0.25">
      <c r="B91" t="s">
        <v>421</v>
      </c>
      <c r="C91" s="446">
        <f t="shared" ref="C91" si="4">C92-SUM(C87:C90)</f>
        <v>0.13</v>
      </c>
      <c r="D91" s="445">
        <v>0</v>
      </c>
      <c r="E91" s="443">
        <f>C91*E85*D91</f>
        <v>0</v>
      </c>
    </row>
    <row r="92" spans="1:5" x14ac:dyDescent="0.25">
      <c r="B92" t="s">
        <v>397</v>
      </c>
      <c r="C92" s="72">
        <v>1</v>
      </c>
      <c r="D92" s="72"/>
    </row>
    <row r="94" spans="1:5" x14ac:dyDescent="0.25">
      <c r="B94" t="s">
        <v>422</v>
      </c>
      <c r="E94" s="447">
        <f t="shared" ref="E94" si="5">-E86+SUM(E87:E91)</f>
        <v>1025000</v>
      </c>
    </row>
    <row r="96" spans="1:5" x14ac:dyDescent="0.25">
      <c r="B96" s="681" t="s">
        <v>45</v>
      </c>
      <c r="C96" s="681"/>
      <c r="D96" s="681"/>
      <c r="E96" s="681"/>
    </row>
    <row r="97" spans="1:5" x14ac:dyDescent="0.25">
      <c r="A97" t="s">
        <v>414</v>
      </c>
      <c r="E97" s="442">
        <v>10000</v>
      </c>
    </row>
    <row r="98" spans="1:5" x14ac:dyDescent="0.25">
      <c r="A98" t="s">
        <v>415</v>
      </c>
      <c r="E98" s="443">
        <f t="shared" ref="E98" si="6">$B$1*E97</f>
        <v>-300000</v>
      </c>
    </row>
    <row r="99" spans="1:5" x14ac:dyDescent="0.25">
      <c r="A99" t="s">
        <v>416</v>
      </c>
      <c r="B99" t="s">
        <v>435</v>
      </c>
      <c r="C99" s="444">
        <v>0.15</v>
      </c>
      <c r="D99" s="445">
        <v>400</v>
      </c>
      <c r="E99" s="443">
        <f>C99*E97*D99</f>
        <v>600000</v>
      </c>
    </row>
    <row r="100" spans="1:5" x14ac:dyDescent="0.25">
      <c r="B100" t="s">
        <v>434</v>
      </c>
      <c r="C100" s="444">
        <v>0.15</v>
      </c>
      <c r="D100" s="445">
        <v>200</v>
      </c>
      <c r="E100" s="443">
        <f>C100*E97*D100</f>
        <v>300000</v>
      </c>
    </row>
    <row r="101" spans="1:5" x14ac:dyDescent="0.25">
      <c r="B101" t="s">
        <v>419</v>
      </c>
      <c r="C101" s="444">
        <v>0.3</v>
      </c>
      <c r="D101" s="445">
        <v>30</v>
      </c>
      <c r="E101" s="443">
        <f>C101*E97*D101</f>
        <v>90000</v>
      </c>
    </row>
    <row r="102" spans="1:5" x14ac:dyDescent="0.25">
      <c r="B102" t="s">
        <v>420</v>
      </c>
      <c r="C102" s="444">
        <v>0.25</v>
      </c>
      <c r="D102" s="445">
        <v>-2</v>
      </c>
      <c r="E102" s="443">
        <f>C102*E97*D102</f>
        <v>-5000</v>
      </c>
    </row>
    <row r="103" spans="1:5" x14ac:dyDescent="0.25">
      <c r="B103" t="s">
        <v>421</v>
      </c>
      <c r="C103" s="446">
        <f t="shared" ref="C103" si="7">C104-SUM(C99:C102)</f>
        <v>0.15000000000000002</v>
      </c>
      <c r="D103" s="445">
        <v>0</v>
      </c>
      <c r="E103" s="443">
        <f>C103*E97*D103</f>
        <v>0</v>
      </c>
    </row>
    <row r="104" spans="1:5" x14ac:dyDescent="0.25">
      <c r="B104" t="s">
        <v>397</v>
      </c>
      <c r="C104" s="72">
        <v>1</v>
      </c>
      <c r="D104" s="72"/>
    </row>
    <row r="106" spans="1:5" x14ac:dyDescent="0.25">
      <c r="B106" t="s">
        <v>422</v>
      </c>
      <c r="E106" s="447">
        <f t="shared" ref="E106" si="8">-E98+SUM(E99:E103)</f>
        <v>1285000</v>
      </c>
    </row>
    <row r="108" spans="1:5" x14ac:dyDescent="0.25">
      <c r="B108" s="681" t="s">
        <v>46</v>
      </c>
      <c r="C108" s="681"/>
      <c r="D108" s="681"/>
      <c r="E108" s="681"/>
    </row>
    <row r="109" spans="1:5" x14ac:dyDescent="0.25">
      <c r="A109" t="s">
        <v>414</v>
      </c>
      <c r="E109" s="442">
        <v>10000</v>
      </c>
    </row>
    <row r="110" spans="1:5" x14ac:dyDescent="0.25">
      <c r="A110" t="s">
        <v>415</v>
      </c>
      <c r="E110" s="443">
        <f t="shared" ref="E110" si="9">$B$1*E109</f>
        <v>-300000</v>
      </c>
    </row>
    <row r="111" spans="1:5" x14ac:dyDescent="0.25">
      <c r="A111" t="s">
        <v>416</v>
      </c>
      <c r="B111" t="s">
        <v>437</v>
      </c>
      <c r="C111" s="444">
        <v>0.15</v>
      </c>
      <c r="D111" s="445">
        <v>400</v>
      </c>
      <c r="E111" s="443">
        <f>C111*E109*D111</f>
        <v>600000</v>
      </c>
    </row>
    <row r="112" spans="1:5" x14ac:dyDescent="0.25">
      <c r="B112" t="s">
        <v>420</v>
      </c>
      <c r="C112" s="444">
        <v>0.2</v>
      </c>
      <c r="D112" s="445">
        <v>-2</v>
      </c>
      <c r="E112" s="443">
        <f>C112*E109*D112</f>
        <v>-4000</v>
      </c>
    </row>
    <row r="113" spans="1:5" x14ac:dyDescent="0.25">
      <c r="B113" t="s">
        <v>421</v>
      </c>
      <c r="C113" s="446">
        <f>C114-SUM(C111:C112)</f>
        <v>0.65</v>
      </c>
      <c r="D113" s="445">
        <v>0</v>
      </c>
      <c r="E113" s="443">
        <f>C113*E109*D113</f>
        <v>0</v>
      </c>
    </row>
    <row r="114" spans="1:5" x14ac:dyDescent="0.25">
      <c r="B114" t="s">
        <v>397</v>
      </c>
      <c r="C114" s="72">
        <v>1</v>
      </c>
      <c r="D114" s="72"/>
      <c r="E114" s="443"/>
    </row>
    <row r="115" spans="1:5" x14ac:dyDescent="0.25">
      <c r="E115" s="443"/>
    </row>
    <row r="116" spans="1:5" x14ac:dyDescent="0.25">
      <c r="B116" t="s">
        <v>422</v>
      </c>
      <c r="E116" s="447">
        <f>-E110+SUM(E111:E113)</f>
        <v>896000</v>
      </c>
    </row>
    <row r="118" spans="1:5" x14ac:dyDescent="0.25">
      <c r="B118" s="681" t="s">
        <v>48</v>
      </c>
      <c r="C118" s="681"/>
      <c r="D118" s="681"/>
      <c r="E118" s="681"/>
    </row>
    <row r="119" spans="1:5" x14ac:dyDescent="0.25">
      <c r="A119" t="s">
        <v>414</v>
      </c>
      <c r="E119" s="442">
        <v>10000</v>
      </c>
    </row>
    <row r="120" spans="1:5" x14ac:dyDescent="0.25">
      <c r="A120" t="s">
        <v>415</v>
      </c>
      <c r="E120" s="443">
        <f t="shared" ref="E120" si="10">$B$1*E119</f>
        <v>-300000</v>
      </c>
    </row>
    <row r="121" spans="1:5" x14ac:dyDescent="0.25">
      <c r="A121" t="s">
        <v>416</v>
      </c>
      <c r="B121" t="s">
        <v>438</v>
      </c>
      <c r="C121" s="444">
        <v>0.2</v>
      </c>
      <c r="D121" s="445">
        <v>300</v>
      </c>
      <c r="E121" s="443">
        <f>C121*E119*D121</f>
        <v>600000</v>
      </c>
    </row>
    <row r="122" spans="1:5" x14ac:dyDescent="0.25">
      <c r="B122" t="s">
        <v>420</v>
      </c>
      <c r="C122" s="444">
        <v>0.25</v>
      </c>
      <c r="D122" s="445">
        <v>-2</v>
      </c>
      <c r="E122" s="443">
        <f>C122*E119*D122</f>
        <v>-5000</v>
      </c>
    </row>
    <row r="123" spans="1:5" x14ac:dyDescent="0.25">
      <c r="B123" t="s">
        <v>421</v>
      </c>
      <c r="C123" s="446">
        <f>C124-SUM(C121:C122)</f>
        <v>0.55000000000000004</v>
      </c>
      <c r="D123" s="445">
        <v>0</v>
      </c>
      <c r="E123" s="443">
        <f>C123*E119*D123</f>
        <v>0</v>
      </c>
    </row>
    <row r="124" spans="1:5" x14ac:dyDescent="0.25">
      <c r="B124" t="s">
        <v>397</v>
      </c>
      <c r="C124" s="72">
        <v>1</v>
      </c>
      <c r="D124" s="72"/>
      <c r="E124" s="443"/>
    </row>
    <row r="125" spans="1:5" x14ac:dyDescent="0.25">
      <c r="E125" s="443"/>
    </row>
    <row r="126" spans="1:5" x14ac:dyDescent="0.25">
      <c r="B126" t="s">
        <v>422</v>
      </c>
      <c r="E126" s="447">
        <f>-E120+SUM(E121:E123)</f>
        <v>895000</v>
      </c>
    </row>
    <row r="128" spans="1:5" x14ac:dyDescent="0.25">
      <c r="B128" s="681" t="s">
        <v>439</v>
      </c>
      <c r="C128" s="681"/>
      <c r="D128" s="681"/>
      <c r="E128" s="681"/>
    </row>
    <row r="129" spans="1:5" x14ac:dyDescent="0.25">
      <c r="A129" t="s">
        <v>414</v>
      </c>
      <c r="E129" s="442">
        <v>10000</v>
      </c>
    </row>
    <row r="130" spans="1:5" x14ac:dyDescent="0.25">
      <c r="A130" t="s">
        <v>415</v>
      </c>
      <c r="E130" s="443">
        <f>$B$1*E129</f>
        <v>-300000</v>
      </c>
    </row>
    <row r="131" spans="1:5" x14ac:dyDescent="0.25">
      <c r="A131" t="s">
        <v>416</v>
      </c>
      <c r="B131" t="s">
        <v>437</v>
      </c>
      <c r="C131" s="444">
        <v>0.08</v>
      </c>
      <c r="D131" s="445">
        <v>600</v>
      </c>
      <c r="E131" s="443">
        <f>C131*E129*D131</f>
        <v>480000</v>
      </c>
    </row>
    <row r="132" spans="1:5" x14ac:dyDescent="0.25">
      <c r="B132" t="s">
        <v>420</v>
      </c>
      <c r="C132" s="444">
        <v>0.2</v>
      </c>
      <c r="D132" s="445">
        <v>-2</v>
      </c>
      <c r="E132" s="443">
        <f>C132*E129*D132</f>
        <v>-4000</v>
      </c>
    </row>
    <row r="133" spans="1:5" x14ac:dyDescent="0.25">
      <c r="B133" t="s">
        <v>421</v>
      </c>
      <c r="C133" s="446">
        <f>C134-SUM(C131:C132)</f>
        <v>0.72</v>
      </c>
      <c r="D133" s="445">
        <v>0</v>
      </c>
      <c r="E133" s="443">
        <f>C133*E129*D133</f>
        <v>0</v>
      </c>
    </row>
    <row r="134" spans="1:5" x14ac:dyDescent="0.25">
      <c r="B134" t="s">
        <v>397</v>
      </c>
      <c r="C134" s="72">
        <v>1</v>
      </c>
      <c r="D134" s="72"/>
      <c r="E134" s="443"/>
    </row>
    <row r="135" spans="1:5" x14ac:dyDescent="0.25">
      <c r="E135" s="443"/>
    </row>
    <row r="136" spans="1:5" x14ac:dyDescent="0.25">
      <c r="B136" t="s">
        <v>422</v>
      </c>
      <c r="E136" s="447">
        <f>-E130+SUM(E131:E133)</f>
        <v>776000</v>
      </c>
    </row>
    <row r="138" spans="1:5" x14ac:dyDescent="0.25">
      <c r="B138" s="681" t="s">
        <v>271</v>
      </c>
      <c r="C138" s="681"/>
      <c r="D138" s="681"/>
      <c r="E138" s="681"/>
    </row>
    <row r="139" spans="1:5" x14ac:dyDescent="0.25">
      <c r="A139" t="s">
        <v>414</v>
      </c>
      <c r="E139" s="442">
        <v>10000</v>
      </c>
    </row>
    <row r="140" spans="1:5" x14ac:dyDescent="0.25">
      <c r="A140" t="s">
        <v>415</v>
      </c>
      <c r="E140" s="443">
        <f t="shared" ref="E140" si="11">$B$1*E139</f>
        <v>-300000</v>
      </c>
    </row>
    <row r="141" spans="1:5" x14ac:dyDescent="0.25">
      <c r="A141" t="s">
        <v>416</v>
      </c>
      <c r="B141" t="s">
        <v>441</v>
      </c>
      <c r="C141" s="444">
        <v>0.2</v>
      </c>
      <c r="D141" s="445">
        <v>300</v>
      </c>
      <c r="E141" s="443">
        <f>C141*E139*D141</f>
        <v>600000</v>
      </c>
    </row>
    <row r="142" spans="1:5" x14ac:dyDescent="0.25">
      <c r="B142" t="s">
        <v>440</v>
      </c>
      <c r="C142" s="444">
        <v>0.1</v>
      </c>
      <c r="D142" s="445">
        <v>58</v>
      </c>
      <c r="E142" s="443">
        <f>C142*E139*D142</f>
        <v>58000</v>
      </c>
    </row>
    <row r="143" spans="1:5" x14ac:dyDescent="0.25">
      <c r="B143" t="s">
        <v>442</v>
      </c>
      <c r="C143" s="444">
        <v>0.35</v>
      </c>
      <c r="D143" s="445">
        <v>5</v>
      </c>
      <c r="E143" s="443">
        <f>C143*E139*D143</f>
        <v>17500</v>
      </c>
    </row>
    <row r="144" spans="1:5" x14ac:dyDescent="0.25">
      <c r="B144" t="s">
        <v>420</v>
      </c>
      <c r="C144" s="444">
        <v>0.25</v>
      </c>
      <c r="D144" s="445">
        <v>-2</v>
      </c>
      <c r="E144" s="443">
        <f>C144*E139*D144</f>
        <v>-5000</v>
      </c>
    </row>
    <row r="145" spans="1:5" x14ac:dyDescent="0.25">
      <c r="B145" t="s">
        <v>421</v>
      </c>
      <c r="C145" s="446">
        <f>C146-SUM(C141:C144)</f>
        <v>9.9999999999999978E-2</v>
      </c>
      <c r="D145" s="445">
        <v>0</v>
      </c>
      <c r="E145" s="443">
        <f>C145*E139*D145</f>
        <v>0</v>
      </c>
    </row>
    <row r="146" spans="1:5" x14ac:dyDescent="0.25">
      <c r="B146" t="s">
        <v>397</v>
      </c>
      <c r="C146" s="72">
        <v>1</v>
      </c>
      <c r="D146" s="72"/>
    </row>
    <row r="148" spans="1:5" x14ac:dyDescent="0.25">
      <c r="B148" t="s">
        <v>422</v>
      </c>
      <c r="E148" s="447">
        <f>-E140+SUM(E141:E145)</f>
        <v>970500</v>
      </c>
    </row>
    <row r="150" spans="1:5" x14ac:dyDescent="0.25">
      <c r="B150" s="681" t="s">
        <v>443</v>
      </c>
      <c r="C150" s="681"/>
      <c r="D150" s="681"/>
      <c r="E150" s="681"/>
    </row>
    <row r="151" spans="1:5" x14ac:dyDescent="0.25">
      <c r="A151" t="s">
        <v>414</v>
      </c>
      <c r="E151" s="442">
        <v>10000</v>
      </c>
    </row>
    <row r="152" spans="1:5" x14ac:dyDescent="0.25">
      <c r="A152" t="s">
        <v>415</v>
      </c>
      <c r="E152" s="443">
        <f t="shared" ref="E152" si="12">$B$1*E151</f>
        <v>-300000</v>
      </c>
    </row>
    <row r="153" spans="1:5" x14ac:dyDescent="0.25">
      <c r="A153" t="s">
        <v>416</v>
      </c>
      <c r="B153" t="s">
        <v>444</v>
      </c>
      <c r="C153" s="444">
        <v>0.2</v>
      </c>
      <c r="D153" s="445">
        <v>200</v>
      </c>
      <c r="E153" s="443">
        <f>C153*E151*D153</f>
        <v>400000</v>
      </c>
    </row>
    <row r="154" spans="1:5" x14ac:dyDescent="0.25">
      <c r="B154" t="s">
        <v>418</v>
      </c>
      <c r="C154" s="444">
        <v>0.3</v>
      </c>
      <c r="D154" s="445">
        <v>100</v>
      </c>
      <c r="E154" s="443">
        <f>C154*E151*D154</f>
        <v>300000</v>
      </c>
    </row>
    <row r="155" spans="1:5" x14ac:dyDescent="0.25">
      <c r="B155" t="s">
        <v>420</v>
      </c>
      <c r="C155" s="444">
        <v>0.4</v>
      </c>
      <c r="D155" s="445">
        <v>-2</v>
      </c>
      <c r="E155" s="443">
        <f>C155*E151*D155</f>
        <v>-8000</v>
      </c>
    </row>
    <row r="156" spans="1:5" x14ac:dyDescent="0.25">
      <c r="B156" t="s">
        <v>421</v>
      </c>
      <c r="C156" s="446">
        <f>C157-SUM(C153:C155)</f>
        <v>9.9999999999999978E-2</v>
      </c>
      <c r="D156" s="445">
        <v>0</v>
      </c>
      <c r="E156" s="443">
        <f>C156*E151*D156</f>
        <v>0</v>
      </c>
    </row>
    <row r="157" spans="1:5" x14ac:dyDescent="0.25">
      <c r="B157" t="s">
        <v>397</v>
      </c>
      <c r="C157" s="72">
        <v>1</v>
      </c>
      <c r="D157" s="72"/>
      <c r="E157" s="443"/>
    </row>
    <row r="159" spans="1:5" x14ac:dyDescent="0.25">
      <c r="B159" t="s">
        <v>422</v>
      </c>
      <c r="E159" s="447">
        <f>-E152+SUM(E153:E156)</f>
        <v>992000</v>
      </c>
    </row>
    <row r="161" spans="1:5" x14ac:dyDescent="0.25">
      <c r="B161" s="681" t="s">
        <v>49</v>
      </c>
      <c r="C161" s="681"/>
      <c r="D161" s="681"/>
      <c r="E161" s="681"/>
    </row>
    <row r="162" spans="1:5" x14ac:dyDescent="0.25">
      <c r="A162" t="s">
        <v>414</v>
      </c>
      <c r="E162" s="442">
        <v>10000</v>
      </c>
    </row>
    <row r="163" spans="1:5" x14ac:dyDescent="0.25">
      <c r="A163" t="s">
        <v>415</v>
      </c>
      <c r="E163" s="443">
        <f t="shared" ref="E163" si="13">$B$1*E162</f>
        <v>-300000</v>
      </c>
    </row>
    <row r="164" spans="1:5" x14ac:dyDescent="0.25">
      <c r="A164" t="s">
        <v>416</v>
      </c>
      <c r="B164" t="s">
        <v>9</v>
      </c>
      <c r="C164" s="444">
        <v>0.5</v>
      </c>
      <c r="D164" s="445">
        <v>50</v>
      </c>
      <c r="E164" s="443">
        <f>C164*E162*D164</f>
        <v>250000</v>
      </c>
    </row>
    <row r="165" spans="1:5" x14ac:dyDescent="0.25">
      <c r="B165" t="s">
        <v>420</v>
      </c>
      <c r="C165" s="444">
        <v>0.05</v>
      </c>
      <c r="D165" s="445">
        <v>-2</v>
      </c>
      <c r="E165" s="443">
        <f>C165*E162*D165</f>
        <v>-1000</v>
      </c>
    </row>
    <row r="166" spans="1:5" x14ac:dyDescent="0.25">
      <c r="B166" t="s">
        <v>421</v>
      </c>
      <c r="C166" s="446">
        <f>C167-SUM(C164:C165)</f>
        <v>0.44999999999999996</v>
      </c>
      <c r="D166" s="445">
        <v>0</v>
      </c>
      <c r="E166" s="443">
        <f>C166*E162*D166</f>
        <v>0</v>
      </c>
    </row>
    <row r="167" spans="1:5" x14ac:dyDescent="0.25">
      <c r="B167" t="s">
        <v>397</v>
      </c>
      <c r="C167" s="72">
        <v>1</v>
      </c>
      <c r="D167" s="72"/>
      <c r="E167" s="443"/>
    </row>
    <row r="168" spans="1:5" x14ac:dyDescent="0.25">
      <c r="E168" s="443"/>
    </row>
    <row r="169" spans="1:5" x14ac:dyDescent="0.25">
      <c r="B169" t="s">
        <v>422</v>
      </c>
      <c r="E169" s="447">
        <f>-E163+SUM(E164:E166)</f>
        <v>549000</v>
      </c>
    </row>
    <row r="171" spans="1:5" x14ac:dyDescent="0.25">
      <c r="B171" s="681" t="s">
        <v>109</v>
      </c>
      <c r="C171" s="681"/>
      <c r="D171" s="681"/>
      <c r="E171" s="681"/>
    </row>
    <row r="172" spans="1:5" x14ac:dyDescent="0.25">
      <c r="A172" t="s">
        <v>414</v>
      </c>
      <c r="E172" s="442">
        <v>0</v>
      </c>
    </row>
    <row r="173" spans="1:5" x14ac:dyDescent="0.25">
      <c r="A173" t="s">
        <v>415</v>
      </c>
      <c r="E173" s="443">
        <f t="shared" ref="E173" si="14">$B$1*E172</f>
        <v>0</v>
      </c>
    </row>
    <row r="174" spans="1:5" x14ac:dyDescent="0.25">
      <c r="A174" t="s">
        <v>416</v>
      </c>
      <c r="B174" t="s">
        <v>441</v>
      </c>
      <c r="C174" s="444">
        <v>0.05</v>
      </c>
      <c r="D174" s="445">
        <v>0</v>
      </c>
      <c r="E174" s="443">
        <f>C174*E172*D174</f>
        <v>0</v>
      </c>
    </row>
    <row r="175" spans="1:5" x14ac:dyDescent="0.25">
      <c r="B175" t="s">
        <v>440</v>
      </c>
      <c r="C175" s="444">
        <v>0.1</v>
      </c>
      <c r="D175" s="445">
        <v>58</v>
      </c>
      <c r="E175" s="443">
        <f>C175*E172*D175</f>
        <v>0</v>
      </c>
    </row>
    <row r="176" spans="1:5" x14ac:dyDescent="0.25">
      <c r="B176" t="s">
        <v>442</v>
      </c>
      <c r="C176" s="444">
        <v>0.35</v>
      </c>
      <c r="D176" s="445">
        <v>5</v>
      </c>
      <c r="E176" s="443">
        <f>C176*E172*D176</f>
        <v>0</v>
      </c>
    </row>
    <row r="177" spans="1:5" x14ac:dyDescent="0.25">
      <c r="B177" t="s">
        <v>420</v>
      </c>
      <c r="C177" s="444">
        <v>0</v>
      </c>
      <c r="D177" s="445">
        <v>-2</v>
      </c>
      <c r="E177" s="443">
        <f>C177*E172*D177</f>
        <v>0</v>
      </c>
    </row>
    <row r="178" spans="1:5" x14ac:dyDescent="0.25">
      <c r="B178" t="s">
        <v>421</v>
      </c>
      <c r="C178" s="446">
        <f>C179-SUM(C174:C177)</f>
        <v>0.5</v>
      </c>
      <c r="D178" s="445">
        <v>0</v>
      </c>
      <c r="E178" s="443">
        <f>C178*E172*D178</f>
        <v>0</v>
      </c>
    </row>
    <row r="179" spans="1:5" x14ac:dyDescent="0.25">
      <c r="B179" t="s">
        <v>397</v>
      </c>
      <c r="C179" s="72">
        <v>1</v>
      </c>
      <c r="D179" s="72"/>
    </row>
    <row r="181" spans="1:5" x14ac:dyDescent="0.25">
      <c r="B181" t="s">
        <v>422</v>
      </c>
      <c r="E181" s="447">
        <f>-E173+SUM(E174:E178)</f>
        <v>0</v>
      </c>
    </row>
    <row r="183" spans="1:5" x14ac:dyDescent="0.25">
      <c r="B183" s="681" t="s">
        <v>405</v>
      </c>
      <c r="C183" s="681"/>
      <c r="D183" s="681"/>
      <c r="E183" s="681"/>
    </row>
    <row r="184" spans="1:5" x14ac:dyDescent="0.25">
      <c r="A184" t="s">
        <v>414</v>
      </c>
      <c r="E184" s="442">
        <v>10000</v>
      </c>
    </row>
    <row r="185" spans="1:5" x14ac:dyDescent="0.25">
      <c r="A185" t="s">
        <v>415</v>
      </c>
      <c r="E185" s="443">
        <f t="shared" ref="E185" si="15">$B$1*E184</f>
        <v>-300000</v>
      </c>
    </row>
    <row r="186" spans="1:5" x14ac:dyDescent="0.25">
      <c r="A186" t="s">
        <v>416</v>
      </c>
      <c r="B186" t="s">
        <v>405</v>
      </c>
      <c r="C186" s="444">
        <v>0.9</v>
      </c>
      <c r="D186" s="445">
        <v>20</v>
      </c>
      <c r="E186" s="443">
        <f>C186*E184*D186</f>
        <v>180000</v>
      </c>
    </row>
    <row r="187" spans="1:5" x14ac:dyDescent="0.25">
      <c r="B187" t="s">
        <v>445</v>
      </c>
      <c r="C187" s="444">
        <v>0.1</v>
      </c>
      <c r="D187" s="445">
        <v>10</v>
      </c>
      <c r="E187" s="443">
        <f>C187*E184*D187</f>
        <v>10000</v>
      </c>
    </row>
    <row r="188" spans="1:5" x14ac:dyDescent="0.25">
      <c r="B188" t="s">
        <v>421</v>
      </c>
      <c r="C188" s="446">
        <f>C189-SUM(C186:C187)</f>
        <v>0</v>
      </c>
      <c r="D188" s="445">
        <v>0</v>
      </c>
      <c r="E188" s="443">
        <f>C188*E184*D188</f>
        <v>0</v>
      </c>
    </row>
    <row r="189" spans="1:5" x14ac:dyDescent="0.25">
      <c r="B189" t="s">
        <v>397</v>
      </c>
      <c r="C189" s="72">
        <v>1</v>
      </c>
      <c r="D189" s="72"/>
      <c r="E189" s="443"/>
    </row>
    <row r="191" spans="1:5" x14ac:dyDescent="0.25">
      <c r="B191" t="s">
        <v>422</v>
      </c>
      <c r="E191" s="447">
        <f>-E185+SUM(E186:E188)</f>
        <v>490000</v>
      </c>
    </row>
    <row r="193" spans="1:5" x14ac:dyDescent="0.25">
      <c r="B193" s="681" t="s">
        <v>6</v>
      </c>
      <c r="C193" s="681"/>
      <c r="D193" s="681"/>
      <c r="E193" s="681"/>
    </row>
    <row r="194" spans="1:5" x14ac:dyDescent="0.25">
      <c r="A194" t="s">
        <v>414</v>
      </c>
      <c r="E194" s="442">
        <v>10000</v>
      </c>
    </row>
    <row r="195" spans="1:5" x14ac:dyDescent="0.25">
      <c r="A195" t="s">
        <v>415</v>
      </c>
      <c r="E195" s="443">
        <f t="shared" ref="E195" si="16">$B$1*E194</f>
        <v>-300000</v>
      </c>
    </row>
    <row r="196" spans="1:5" x14ac:dyDescent="0.25">
      <c r="A196" t="s">
        <v>416</v>
      </c>
      <c r="B196" t="s">
        <v>446</v>
      </c>
      <c r="C196" s="444">
        <v>0.7</v>
      </c>
      <c r="D196" s="445">
        <v>15</v>
      </c>
      <c r="E196" s="443">
        <f>C196*$E$194*D196</f>
        <v>105000</v>
      </c>
    </row>
    <row r="197" spans="1:5" x14ac:dyDescent="0.25">
      <c r="B197" t="s">
        <v>420</v>
      </c>
      <c r="C197" s="444">
        <v>0.05</v>
      </c>
      <c r="D197" s="445">
        <v>-2</v>
      </c>
      <c r="E197" s="443">
        <f>C197*$E$194*D197</f>
        <v>-1000</v>
      </c>
    </row>
    <row r="198" spans="1:5" x14ac:dyDescent="0.25">
      <c r="B198" t="s">
        <v>421</v>
      </c>
      <c r="C198" s="446">
        <f>C199-SUM(C196:C197)</f>
        <v>0.25</v>
      </c>
      <c r="D198" s="445">
        <v>0</v>
      </c>
      <c r="E198" s="443">
        <f>C198*$E$194*D198</f>
        <v>0</v>
      </c>
    </row>
    <row r="199" spans="1:5" x14ac:dyDescent="0.25">
      <c r="B199" t="s">
        <v>397</v>
      </c>
      <c r="C199" s="72">
        <v>1</v>
      </c>
      <c r="D199" s="72"/>
    </row>
    <row r="201" spans="1:5" x14ac:dyDescent="0.25">
      <c r="B201" t="s">
        <v>422</v>
      </c>
      <c r="E201" s="447">
        <f>-E195+SUM(E196:E198)</f>
        <v>404000</v>
      </c>
    </row>
    <row r="203" spans="1:5" x14ac:dyDescent="0.25">
      <c r="B203" s="681" t="s">
        <v>1</v>
      </c>
      <c r="C203" s="681"/>
      <c r="D203" s="681"/>
      <c r="E203" s="681"/>
    </row>
    <row r="204" spans="1:5" x14ac:dyDescent="0.25">
      <c r="A204" t="s">
        <v>414</v>
      </c>
      <c r="E204" s="442">
        <v>10000</v>
      </c>
    </row>
    <row r="205" spans="1:5" x14ac:dyDescent="0.25">
      <c r="A205" t="s">
        <v>415</v>
      </c>
      <c r="E205" s="443">
        <f t="shared" ref="E205" si="17">$B$1*E204</f>
        <v>-300000</v>
      </c>
    </row>
    <row r="206" spans="1:5" x14ac:dyDescent="0.25">
      <c r="A206" t="s">
        <v>416</v>
      </c>
      <c r="B206" t="s">
        <v>440</v>
      </c>
      <c r="C206" s="444">
        <v>0.2</v>
      </c>
      <c r="D206" s="445">
        <v>58</v>
      </c>
      <c r="E206" s="443">
        <f>C206*E204*D206</f>
        <v>116000</v>
      </c>
    </row>
    <row r="207" spans="1:5" x14ac:dyDescent="0.25">
      <c r="B207" t="s">
        <v>447</v>
      </c>
      <c r="C207" s="444">
        <v>0.6</v>
      </c>
      <c r="D207" s="445">
        <v>15</v>
      </c>
      <c r="E207" s="443">
        <f>C207*E204*D207</f>
        <v>90000</v>
      </c>
    </row>
    <row r="208" spans="1:5" x14ac:dyDescent="0.25">
      <c r="B208" t="s">
        <v>420</v>
      </c>
      <c r="C208" s="444">
        <v>0.2</v>
      </c>
      <c r="D208" s="445">
        <v>-2</v>
      </c>
      <c r="E208" s="443">
        <f>C208*E204*D208</f>
        <v>-4000</v>
      </c>
    </row>
    <row r="209" spans="1:5" x14ac:dyDescent="0.25">
      <c r="B209" t="s">
        <v>421</v>
      </c>
      <c r="C209" s="446">
        <f>C210-SUM(C206:C208)</f>
        <v>0</v>
      </c>
      <c r="D209" s="445">
        <v>0</v>
      </c>
      <c r="E209" s="443">
        <f>C209*E204*D209</f>
        <v>0</v>
      </c>
    </row>
    <row r="210" spans="1:5" x14ac:dyDescent="0.25">
      <c r="B210" t="s">
        <v>397</v>
      </c>
      <c r="C210" s="72">
        <v>1</v>
      </c>
      <c r="D210" s="72"/>
    </row>
    <row r="212" spans="1:5" x14ac:dyDescent="0.25">
      <c r="B212" t="s">
        <v>422</v>
      </c>
      <c r="E212" s="447">
        <f>-E205+SUM(E206:E209)</f>
        <v>502000</v>
      </c>
    </row>
    <row r="214" spans="1:5" x14ac:dyDescent="0.25">
      <c r="B214" s="681" t="s">
        <v>3</v>
      </c>
      <c r="C214" s="681"/>
      <c r="D214" s="681"/>
      <c r="E214" s="681"/>
    </row>
    <row r="215" spans="1:5" x14ac:dyDescent="0.25">
      <c r="A215" t="s">
        <v>414</v>
      </c>
      <c r="E215" s="442">
        <v>10000</v>
      </c>
    </row>
    <row r="216" spans="1:5" x14ac:dyDescent="0.25">
      <c r="A216" t="s">
        <v>415</v>
      </c>
      <c r="E216" s="443">
        <f t="shared" ref="E216" si="18">$B$1*E215</f>
        <v>-300000</v>
      </c>
    </row>
    <row r="217" spans="1:5" x14ac:dyDescent="0.25">
      <c r="A217" t="s">
        <v>416</v>
      </c>
      <c r="B217" t="s">
        <v>370</v>
      </c>
      <c r="C217" s="444">
        <v>0.3</v>
      </c>
      <c r="D217" s="445">
        <f>17*14</f>
        <v>238</v>
      </c>
      <c r="E217" s="443">
        <f>C217*E215*D217</f>
        <v>714000</v>
      </c>
    </row>
    <row r="218" spans="1:5" x14ac:dyDescent="0.25">
      <c r="B218" t="s">
        <v>445</v>
      </c>
      <c r="C218" s="444">
        <v>0.05</v>
      </c>
      <c r="D218" s="445">
        <v>-100</v>
      </c>
      <c r="E218" s="443">
        <f>C218*E215*D218</f>
        <v>-50000</v>
      </c>
    </row>
    <row r="219" spans="1:5" x14ac:dyDescent="0.25">
      <c r="B219" t="s">
        <v>421</v>
      </c>
      <c r="C219" s="446">
        <f>C220-SUM(C217:C218)</f>
        <v>0.65</v>
      </c>
      <c r="D219" s="445">
        <v>0</v>
      </c>
      <c r="E219" s="443">
        <f>C219*E215*D219</f>
        <v>0</v>
      </c>
    </row>
    <row r="220" spans="1:5" x14ac:dyDescent="0.25">
      <c r="B220" t="s">
        <v>397</v>
      </c>
      <c r="C220" s="72">
        <v>1</v>
      </c>
      <c r="D220" s="72"/>
      <c r="E220" s="443"/>
    </row>
    <row r="222" spans="1:5" x14ac:dyDescent="0.25">
      <c r="B222" t="s">
        <v>422</v>
      </c>
      <c r="E222" s="447">
        <f>-E216+SUM(E217:E219)</f>
        <v>964000</v>
      </c>
    </row>
    <row r="224" spans="1:5" x14ac:dyDescent="0.25">
      <c r="B224" s="681" t="s">
        <v>33</v>
      </c>
      <c r="C224" s="681"/>
      <c r="D224" s="681"/>
      <c r="E224" s="681"/>
    </row>
    <row r="225" spans="1:5" x14ac:dyDescent="0.25">
      <c r="A225" t="s">
        <v>414</v>
      </c>
      <c r="E225" s="442">
        <v>10000</v>
      </c>
    </row>
    <row r="226" spans="1:5" x14ac:dyDescent="0.25">
      <c r="A226" t="s">
        <v>415</v>
      </c>
      <c r="E226" s="443">
        <f t="shared" ref="E226" si="19">$B$1*E225</f>
        <v>-300000</v>
      </c>
    </row>
    <row r="227" spans="1:5" x14ac:dyDescent="0.25">
      <c r="A227" t="s">
        <v>416</v>
      </c>
      <c r="B227" t="s">
        <v>34</v>
      </c>
      <c r="C227" s="444">
        <v>0.05</v>
      </c>
      <c r="D227" s="445">
        <v>700</v>
      </c>
      <c r="E227" s="443">
        <f>C227*$E$225*D227</f>
        <v>350000</v>
      </c>
    </row>
    <row r="228" spans="1:5" x14ac:dyDescent="0.25">
      <c r="B228" t="s">
        <v>448</v>
      </c>
      <c r="C228" s="444">
        <v>0.4</v>
      </c>
      <c r="D228" s="445">
        <v>50</v>
      </c>
      <c r="E228" s="443">
        <f>C228*$E$225*D228</f>
        <v>200000</v>
      </c>
    </row>
    <row r="229" spans="1:5" x14ac:dyDescent="0.25">
      <c r="B229" t="s">
        <v>420</v>
      </c>
      <c r="C229" s="444">
        <v>0.45</v>
      </c>
      <c r="D229" s="445">
        <v>-2</v>
      </c>
      <c r="E229" s="443">
        <f>C229*$E$225*D229</f>
        <v>-9000</v>
      </c>
    </row>
    <row r="230" spans="1:5" x14ac:dyDescent="0.25">
      <c r="B230" t="s">
        <v>421</v>
      </c>
      <c r="C230" s="446">
        <f>C231-SUM(C227:C229)</f>
        <v>9.9999999999999978E-2</v>
      </c>
      <c r="D230" s="445">
        <v>0</v>
      </c>
      <c r="E230" s="443">
        <f>C230*$E$225*D230</f>
        <v>0</v>
      </c>
    </row>
    <row r="231" spans="1:5" x14ac:dyDescent="0.25">
      <c r="B231" t="s">
        <v>397</v>
      </c>
      <c r="C231" s="72">
        <v>1</v>
      </c>
      <c r="D231" s="72"/>
    </row>
    <row r="233" spans="1:5" x14ac:dyDescent="0.25">
      <c r="B233" t="s">
        <v>422</v>
      </c>
      <c r="E233" s="447">
        <f>-E226+SUM(E227:E230)</f>
        <v>841000</v>
      </c>
    </row>
    <row r="235" spans="1:5" x14ac:dyDescent="0.25">
      <c r="B235" s="681" t="s">
        <v>4</v>
      </c>
      <c r="C235" s="681"/>
      <c r="D235" s="681"/>
      <c r="E235" s="681"/>
    </row>
    <row r="236" spans="1:5" x14ac:dyDescent="0.25">
      <c r="A236" t="s">
        <v>414</v>
      </c>
      <c r="E236" s="442">
        <v>10000</v>
      </c>
    </row>
    <row r="237" spans="1:5" x14ac:dyDescent="0.25">
      <c r="A237" t="s">
        <v>415</v>
      </c>
      <c r="E237" s="443">
        <f t="shared" ref="E237" si="20">$B$1*E236</f>
        <v>-300000</v>
      </c>
    </row>
    <row r="238" spans="1:5" x14ac:dyDescent="0.25">
      <c r="A238" t="s">
        <v>416</v>
      </c>
      <c r="B238" t="s">
        <v>31</v>
      </c>
      <c r="C238" s="444">
        <v>0.3</v>
      </c>
      <c r="D238" s="445">
        <v>58</v>
      </c>
      <c r="E238" s="443">
        <f>C238*E236*D238</f>
        <v>174000</v>
      </c>
    </row>
    <row r="239" spans="1:5" x14ac:dyDescent="0.25">
      <c r="B239" t="s">
        <v>449</v>
      </c>
      <c r="C239" s="444">
        <v>0.05</v>
      </c>
      <c r="D239" s="445">
        <v>-100</v>
      </c>
      <c r="E239" s="443">
        <f>C239*E236*D239</f>
        <v>-50000</v>
      </c>
    </row>
    <row r="240" spans="1:5" x14ac:dyDescent="0.25">
      <c r="B240" t="s">
        <v>421</v>
      </c>
      <c r="C240" s="446">
        <f>C241-SUM(C238:C239)</f>
        <v>0.65</v>
      </c>
      <c r="D240" s="445">
        <v>0</v>
      </c>
      <c r="E240" s="443">
        <f>C240*E236*D240</f>
        <v>0</v>
      </c>
    </row>
    <row r="241" spans="1:5" x14ac:dyDescent="0.25">
      <c r="B241" t="s">
        <v>397</v>
      </c>
      <c r="C241" s="72">
        <v>1</v>
      </c>
      <c r="D241" s="72"/>
    </row>
    <row r="243" spans="1:5" x14ac:dyDescent="0.25">
      <c r="B243" t="s">
        <v>422</v>
      </c>
      <c r="E243" s="447">
        <f>-E237+SUM(E238:E240)</f>
        <v>424000</v>
      </c>
    </row>
    <row r="245" spans="1:5" x14ac:dyDescent="0.25">
      <c r="B245" s="681" t="s">
        <v>5</v>
      </c>
      <c r="C245" s="681"/>
      <c r="D245" s="681"/>
      <c r="E245" s="681"/>
    </row>
    <row r="246" spans="1:5" x14ac:dyDescent="0.25">
      <c r="A246" t="s">
        <v>414</v>
      </c>
      <c r="E246" s="442">
        <v>10000</v>
      </c>
    </row>
    <row r="247" spans="1:5" x14ac:dyDescent="0.25">
      <c r="A247" t="s">
        <v>415</v>
      </c>
      <c r="E247" s="443">
        <f t="shared" ref="E247" si="21">$B$1*E246</f>
        <v>-300000</v>
      </c>
    </row>
    <row r="248" spans="1:5" x14ac:dyDescent="0.25">
      <c r="A248" t="s">
        <v>416</v>
      </c>
      <c r="B248" t="s">
        <v>81</v>
      </c>
      <c r="C248" s="444">
        <v>0.1</v>
      </c>
      <c r="D248" s="445">
        <v>60</v>
      </c>
      <c r="E248" s="443">
        <f>C248*E246*D248</f>
        <v>60000</v>
      </c>
    </row>
    <row r="249" spans="1:5" x14ac:dyDescent="0.25">
      <c r="B249" t="s">
        <v>31</v>
      </c>
      <c r="C249" s="444">
        <v>0.1</v>
      </c>
      <c r="D249" s="445">
        <v>58</v>
      </c>
      <c r="E249" s="443">
        <f>C249*E246*D249</f>
        <v>58000</v>
      </c>
    </row>
    <row r="250" spans="1:5" x14ac:dyDescent="0.25">
      <c r="B250" t="s">
        <v>450</v>
      </c>
      <c r="C250" s="444">
        <v>0.13</v>
      </c>
      <c r="D250" s="445">
        <v>150</v>
      </c>
      <c r="E250" s="443">
        <f>C250*E246*D250</f>
        <v>195000</v>
      </c>
    </row>
    <row r="251" spans="1:5" x14ac:dyDescent="0.25">
      <c r="B251" t="s">
        <v>421</v>
      </c>
      <c r="C251" s="446">
        <f>C252-SUM(C248:C250)</f>
        <v>0.66999999999999993</v>
      </c>
      <c r="D251" s="445">
        <v>0</v>
      </c>
      <c r="E251" s="443">
        <f>C251*E246*D251</f>
        <v>0</v>
      </c>
    </row>
    <row r="252" spans="1:5" x14ac:dyDescent="0.25">
      <c r="B252" t="s">
        <v>397</v>
      </c>
      <c r="C252" s="72">
        <v>1</v>
      </c>
      <c r="D252" s="72"/>
      <c r="E252" s="443"/>
    </row>
    <row r="254" spans="1:5" x14ac:dyDescent="0.25">
      <c r="B254" t="s">
        <v>422</v>
      </c>
      <c r="E254" s="447">
        <f>-E247+SUM(E248:E251)</f>
        <v>613000</v>
      </c>
    </row>
    <row r="256" spans="1:5" x14ac:dyDescent="0.25">
      <c r="B256" s="681" t="s">
        <v>82</v>
      </c>
      <c r="C256" s="681"/>
      <c r="D256" s="681"/>
      <c r="E256" s="681"/>
    </row>
    <row r="257" spans="1:5" x14ac:dyDescent="0.25">
      <c r="A257" t="s">
        <v>414</v>
      </c>
      <c r="E257" s="442">
        <v>10000</v>
      </c>
    </row>
    <row r="258" spans="1:5" x14ac:dyDescent="0.25">
      <c r="A258" t="s">
        <v>415</v>
      </c>
      <c r="E258" s="443">
        <f t="shared" ref="E258" si="22">$B$1*E257</f>
        <v>-300000</v>
      </c>
    </row>
    <row r="259" spans="1:5" x14ac:dyDescent="0.25">
      <c r="A259" t="s">
        <v>416</v>
      </c>
      <c r="B259" t="s">
        <v>423</v>
      </c>
      <c r="C259" s="444">
        <v>0.16</v>
      </c>
      <c r="D259" s="445">
        <v>60</v>
      </c>
      <c r="E259" s="443">
        <f>C259*$E$257*D259</f>
        <v>96000</v>
      </c>
    </row>
    <row r="260" spans="1:5" x14ac:dyDescent="0.25">
      <c r="B260" t="s">
        <v>31</v>
      </c>
      <c r="C260" s="444">
        <v>0.16</v>
      </c>
      <c r="D260" s="445">
        <v>58</v>
      </c>
      <c r="E260" s="443">
        <f>C260*$E$257*D260</f>
        <v>92800</v>
      </c>
    </row>
    <row r="261" spans="1:5" x14ac:dyDescent="0.25">
      <c r="B261" t="s">
        <v>421</v>
      </c>
      <c r="C261" s="446">
        <f>C262-SUM(C259:C260)</f>
        <v>0.67999999999999994</v>
      </c>
      <c r="D261" s="445">
        <v>0</v>
      </c>
      <c r="E261" s="443">
        <f>C261*$E$257*D261</f>
        <v>0</v>
      </c>
    </row>
    <row r="262" spans="1:5" x14ac:dyDescent="0.25">
      <c r="B262" t="s">
        <v>397</v>
      </c>
      <c r="C262" s="72">
        <v>1</v>
      </c>
      <c r="D262" s="72"/>
    </row>
    <row r="264" spans="1:5" x14ac:dyDescent="0.25">
      <c r="B264" t="s">
        <v>422</v>
      </c>
      <c r="E264" s="447">
        <f>-E258+SUM(E259:E261)</f>
        <v>488800</v>
      </c>
    </row>
  </sheetData>
  <mergeCells count="24">
    <mergeCell ref="B256:E256"/>
    <mergeCell ref="B193:E193"/>
    <mergeCell ref="B203:E203"/>
    <mergeCell ref="B214:E214"/>
    <mergeCell ref="B224:E224"/>
    <mergeCell ref="B235:E235"/>
    <mergeCell ref="B245:E245"/>
    <mergeCell ref="B138:E138"/>
    <mergeCell ref="B150:E150"/>
    <mergeCell ref="B161:E161"/>
    <mergeCell ref="B171:E171"/>
    <mergeCell ref="B183:E183"/>
    <mergeCell ref="B128:E128"/>
    <mergeCell ref="B3:E3"/>
    <mergeCell ref="B16:E16"/>
    <mergeCell ref="B28:E28"/>
    <mergeCell ref="B40:E40"/>
    <mergeCell ref="B50:E50"/>
    <mergeCell ref="B60:E60"/>
    <mergeCell ref="B72:E72"/>
    <mergeCell ref="B84:E84"/>
    <mergeCell ref="B96:E96"/>
    <mergeCell ref="B108:E108"/>
    <mergeCell ref="B118:E1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showGridLines="0" topLeftCell="D1" zoomScaleNormal="100" workbookViewId="0">
      <selection activeCell="P20" sqref="P20"/>
    </sheetView>
  </sheetViews>
  <sheetFormatPr defaultRowHeight="15" x14ac:dyDescent="0.25"/>
  <cols>
    <col min="1" max="1" width="14.28515625" customWidth="1"/>
    <col min="2" max="2" width="24.42578125" bestFit="1" customWidth="1"/>
    <col min="3" max="9" width="18.5703125" customWidth="1"/>
    <col min="10" max="10" width="18" customWidth="1"/>
    <col min="11" max="11" width="17.140625" customWidth="1"/>
    <col min="12" max="12" width="15.5703125" customWidth="1"/>
    <col min="13" max="13" width="15" customWidth="1"/>
    <col min="14" max="14" width="14" bestFit="1" customWidth="1"/>
    <col min="15" max="15" width="15" bestFit="1" customWidth="1"/>
    <col min="16" max="16" width="16" bestFit="1" customWidth="1"/>
    <col min="17" max="17" width="16.85546875" bestFit="1" customWidth="1"/>
    <col min="18" max="25" width="15.7109375" customWidth="1"/>
    <col min="26" max="26" width="15.28515625" bestFit="1" customWidth="1"/>
    <col min="27" max="27" width="16.5703125" bestFit="1" customWidth="1"/>
    <col min="28" max="28" width="16" bestFit="1" customWidth="1"/>
    <col min="29" max="29" width="16.85546875" bestFit="1" customWidth="1"/>
  </cols>
  <sheetData>
    <row r="1" spans="1:24" x14ac:dyDescent="0.25">
      <c r="L1" s="46"/>
      <c r="M1" s="46"/>
      <c r="N1" s="46"/>
      <c r="O1" s="46"/>
      <c r="P1" s="46"/>
      <c r="Q1" s="46"/>
      <c r="R1" s="46"/>
    </row>
    <row r="2" spans="1:24" x14ac:dyDescent="0.25">
      <c r="A2" s="694" t="s">
        <v>385</v>
      </c>
      <c r="B2" s="695"/>
      <c r="C2" s="696" t="s">
        <v>384</v>
      </c>
      <c r="D2" s="697"/>
      <c r="E2" s="697"/>
      <c r="F2" s="698"/>
      <c r="G2" s="396">
        <v>1</v>
      </c>
      <c r="H2" s="396">
        <v>0.25</v>
      </c>
      <c r="I2" s="396">
        <v>0.5</v>
      </c>
      <c r="K2" s="690" t="s">
        <v>73</v>
      </c>
      <c r="L2" s="47"/>
      <c r="M2" s="255">
        <v>0.5</v>
      </c>
      <c r="N2" s="254" t="s">
        <v>74</v>
      </c>
      <c r="O2" s="47"/>
      <c r="P2" s="47"/>
      <c r="Q2" s="47"/>
      <c r="R2" s="46"/>
    </row>
    <row r="3" spans="1:24" ht="45" x14ac:dyDescent="0.25">
      <c r="A3" s="694"/>
      <c r="B3" s="695"/>
      <c r="C3" s="394" t="s">
        <v>13</v>
      </c>
      <c r="D3" s="394" t="s">
        <v>25</v>
      </c>
      <c r="E3" s="395" t="s">
        <v>269</v>
      </c>
      <c r="F3" s="395" t="s">
        <v>15</v>
      </c>
      <c r="G3" s="394" t="s">
        <v>382</v>
      </c>
      <c r="H3" s="394" t="s">
        <v>383</v>
      </c>
      <c r="I3" s="394" t="s">
        <v>383</v>
      </c>
      <c r="K3" s="690"/>
      <c r="L3" s="47"/>
      <c r="M3" s="47"/>
      <c r="N3" s="47"/>
      <c r="O3" s="47"/>
      <c r="P3" s="47"/>
      <c r="R3" s="47"/>
      <c r="S3" s="47"/>
      <c r="T3" s="46"/>
    </row>
    <row r="4" spans="1:24" x14ac:dyDescent="0.25">
      <c r="A4" s="692" t="s">
        <v>19</v>
      </c>
      <c r="B4" s="397" t="s">
        <v>22</v>
      </c>
      <c r="C4" s="682">
        <f>134000/M2</f>
        <v>268000</v>
      </c>
      <c r="D4" s="682"/>
      <c r="E4" s="682"/>
      <c r="F4" s="392">
        <f>70000/M2</f>
        <v>140000</v>
      </c>
      <c r="G4" s="683">
        <f ca="1">ROUND(SUM(C4:G5),-5)</f>
        <v>1600000</v>
      </c>
      <c r="H4" s="685">
        <f ca="1">H2*G4</f>
        <v>400000</v>
      </c>
      <c r="I4" s="685">
        <f ca="1">I2*G4</f>
        <v>800000</v>
      </c>
      <c r="K4" s="687" t="s">
        <v>75</v>
      </c>
      <c r="L4" s="48"/>
      <c r="M4" s="134"/>
      <c r="N4" s="130" t="s">
        <v>160</v>
      </c>
      <c r="O4" s="1" t="s">
        <v>20</v>
      </c>
      <c r="P4" s="1" t="s">
        <v>161</v>
      </c>
      <c r="Q4" s="360" t="s">
        <v>343</v>
      </c>
      <c r="R4" s="688" t="s">
        <v>214</v>
      </c>
      <c r="S4" s="689"/>
      <c r="T4" s="368"/>
      <c r="U4" s="368"/>
      <c r="V4" s="368"/>
      <c r="W4" s="368"/>
      <c r="X4" s="368"/>
    </row>
    <row r="5" spans="1:24" x14ac:dyDescent="0.25">
      <c r="A5" s="692"/>
      <c r="B5" s="398" t="s">
        <v>23</v>
      </c>
      <c r="C5" s="682">
        <f>513000/M2</f>
        <v>1026000</v>
      </c>
      <c r="D5" s="682"/>
      <c r="E5" s="682"/>
      <c r="F5" s="399">
        <f>75000/0.5</f>
        <v>150000</v>
      </c>
      <c r="G5" s="684"/>
      <c r="H5" s="686"/>
      <c r="I5" s="686"/>
      <c r="K5" s="687"/>
      <c r="L5" s="44"/>
      <c r="M5" s="18"/>
      <c r="N5" s="130"/>
      <c r="O5" s="130"/>
      <c r="P5" s="1"/>
      <c r="Q5" s="366"/>
      <c r="R5" s="130" t="s">
        <v>216</v>
      </c>
      <c r="S5" s="130" t="s">
        <v>215</v>
      </c>
      <c r="T5" s="88"/>
      <c r="U5" s="88"/>
      <c r="V5" s="88"/>
      <c r="W5" s="88"/>
      <c r="X5" s="88"/>
    </row>
    <row r="6" spans="1:24" x14ac:dyDescent="0.25">
      <c r="A6" s="693" t="s">
        <v>20</v>
      </c>
      <c r="B6" s="693"/>
      <c r="C6" s="393">
        <v>100000</v>
      </c>
      <c r="D6" s="393">
        <v>170000</v>
      </c>
      <c r="E6" s="682">
        <v>230000</v>
      </c>
      <c r="F6" s="682"/>
      <c r="G6" s="399">
        <f ca="1">SUM(C6:G6)</f>
        <v>500000</v>
      </c>
      <c r="H6" s="400">
        <f ca="1">ROUND(G6*H2,-4)</f>
        <v>130000</v>
      </c>
      <c r="I6" s="400">
        <f ca="1">G6*I2</f>
        <v>250000</v>
      </c>
      <c r="K6" s="391" t="s">
        <v>75</v>
      </c>
      <c r="L6" s="44"/>
      <c r="M6" s="1" t="s">
        <v>156</v>
      </c>
      <c r="N6" s="131">
        <f ca="1">(1-N8)/3</f>
        <v>0.33333333333333331</v>
      </c>
      <c r="O6" s="132">
        <f ca="1">C6/G6</f>
        <v>0.2</v>
      </c>
      <c r="P6" s="132">
        <f ca="1">H$7/4/H$7</f>
        <v>0.25</v>
      </c>
      <c r="Q6" s="367">
        <f ca="1">R6/R10</f>
        <v>0.29710144927536231</v>
      </c>
      <c r="R6" s="133">
        <f ca="1">N6*G$4+O6*G$6+P6*H$7</f>
        <v>683333.33333333326</v>
      </c>
      <c r="S6" s="133">
        <f ca="1">R6*(1-C18)*H18</f>
        <v>259666.66666666663</v>
      </c>
      <c r="T6" s="369"/>
      <c r="U6" s="369"/>
      <c r="V6" s="369"/>
      <c r="W6" s="369"/>
      <c r="X6" s="369"/>
    </row>
    <row r="7" spans="1:24" x14ac:dyDescent="0.25">
      <c r="A7" s="699" t="s">
        <v>24</v>
      </c>
      <c r="B7" s="397" t="s">
        <v>26</v>
      </c>
      <c r="C7" s="682">
        <f>200000-C8</f>
        <v>196000</v>
      </c>
      <c r="D7" s="682"/>
      <c r="E7" s="682"/>
      <c r="F7" s="682"/>
      <c r="G7" s="685">
        <f ca="1">H7/H2</f>
        <v>800000</v>
      </c>
      <c r="H7" s="683">
        <f ca="1">SUM(C7:G8)</f>
        <v>200000</v>
      </c>
      <c r="I7" s="685">
        <f ca="1">H7/50%</f>
        <v>400000</v>
      </c>
      <c r="K7" s="687" t="s">
        <v>75</v>
      </c>
      <c r="L7" s="44"/>
      <c r="M7" s="1" t="s">
        <v>157</v>
      </c>
      <c r="N7" s="131">
        <f ca="1">(1-N8)/3</f>
        <v>0.33333333333333331</v>
      </c>
      <c r="O7" s="132">
        <f ca="1">D6/G6</f>
        <v>0.34</v>
      </c>
      <c r="P7" s="132">
        <f ca="1">H$7/4/H$7</f>
        <v>0.25</v>
      </c>
      <c r="Q7" s="367">
        <f ca="1">R7/R10</f>
        <v>0.32753623188405795</v>
      </c>
      <c r="R7" s="133">
        <f ca="1">N7*G$4+O7*G$6+P7*H$7</f>
        <v>753333.33333333326</v>
      </c>
      <c r="S7" s="133">
        <f ca="1">R7*(1-C19)*H19</f>
        <v>300579.99999999994</v>
      </c>
      <c r="T7" s="369"/>
      <c r="U7" s="369"/>
      <c r="V7" s="369"/>
      <c r="W7" s="369"/>
      <c r="X7" s="369"/>
    </row>
    <row r="8" spans="1:24" x14ac:dyDescent="0.25">
      <c r="A8" s="700"/>
      <c r="B8" s="397" t="s">
        <v>27</v>
      </c>
      <c r="C8" s="682">
        <v>4000</v>
      </c>
      <c r="D8" s="682"/>
      <c r="E8" s="682"/>
      <c r="F8" s="682"/>
      <c r="G8" s="686"/>
      <c r="H8" s="684"/>
      <c r="I8" s="686"/>
      <c r="K8" s="687"/>
      <c r="L8" s="44"/>
      <c r="M8" s="1" t="s">
        <v>158</v>
      </c>
      <c r="N8" s="131">
        <f ca="1">SUM(#REF!)/SUM(C4:G5)</f>
        <v>0</v>
      </c>
      <c r="O8" s="132">
        <f ca="1">E6/G6/2</f>
        <v>0.23</v>
      </c>
      <c r="P8" s="132">
        <f ca="1">H$7/4/H$7</f>
        <v>0.25</v>
      </c>
      <c r="Q8" s="367">
        <f ca="1">R8/R10</f>
        <v>7.1739130434782611E-2</v>
      </c>
      <c r="R8" s="133">
        <f ca="1">N8*G$4+O8*G$6+P8*H$7</f>
        <v>165000</v>
      </c>
      <c r="S8" s="133">
        <f ca="1">R8*(1-C20)*H20</f>
        <v>9817.5000000000018</v>
      </c>
      <c r="T8" s="369"/>
      <c r="U8" s="369"/>
      <c r="V8" s="369"/>
      <c r="W8" s="369"/>
      <c r="X8" s="369"/>
    </row>
    <row r="9" spans="1:24" x14ac:dyDescent="0.25">
      <c r="A9" s="691" t="s">
        <v>28</v>
      </c>
      <c r="B9" s="691"/>
      <c r="C9" s="691"/>
      <c r="D9" s="389"/>
      <c r="E9" s="389"/>
      <c r="F9" s="389"/>
      <c r="G9" s="401">
        <f ca="1">SUM(G4:G8)</f>
        <v>2900000</v>
      </c>
      <c r="H9" s="401">
        <f ca="1">SUM(H4:H8)</f>
        <v>730000</v>
      </c>
      <c r="I9" s="401">
        <f ca="1">SUM(I4:I8)</f>
        <v>1450000</v>
      </c>
      <c r="K9" s="390"/>
      <c r="L9" s="45"/>
      <c r="M9" s="1" t="s">
        <v>159</v>
      </c>
      <c r="N9" s="131">
        <f ca="1">(1-N8)/3</f>
        <v>0.33333333333333331</v>
      </c>
      <c r="O9" s="132">
        <f ca="1">E6/G6/2</f>
        <v>0.23</v>
      </c>
      <c r="P9" s="132">
        <f ca="1">H$7/4/H$7</f>
        <v>0.25</v>
      </c>
      <c r="Q9" s="367">
        <f ca="1">R9/R10</f>
        <v>0.30362318840579705</v>
      </c>
      <c r="R9" s="133">
        <f ca="1">N9*G$4+O9*G$6+P9*H$7</f>
        <v>698333.33333333326</v>
      </c>
      <c r="S9" s="133">
        <f ca="1">R9*(1-C21)*H21</f>
        <v>272000.83333333326</v>
      </c>
      <c r="T9" s="369"/>
      <c r="U9" s="369"/>
      <c r="V9" s="369"/>
      <c r="W9" s="369"/>
      <c r="X9" s="369"/>
    </row>
    <row r="10" spans="1:24" x14ac:dyDescent="0.25">
      <c r="M10" s="1"/>
      <c r="N10" s="1"/>
      <c r="O10" s="1"/>
      <c r="P10" s="1"/>
      <c r="Q10" s="361">
        <f ca="1">SUM(Q6:Q9)</f>
        <v>1</v>
      </c>
      <c r="R10" s="135">
        <f ca="1">SUM(R6:R9)</f>
        <v>2300000</v>
      </c>
      <c r="S10" s="135">
        <f ca="1">SUM(S6:S9)</f>
        <v>842064.99999999977</v>
      </c>
      <c r="T10" s="370"/>
      <c r="U10" s="370"/>
      <c r="V10" s="370"/>
      <c r="W10" s="370"/>
      <c r="X10" s="370"/>
    </row>
    <row r="16" spans="1:24" x14ac:dyDescent="0.25">
      <c r="C16" s="681" t="s">
        <v>192</v>
      </c>
      <c r="D16" s="681"/>
    </row>
    <row r="17" spans="2:29" ht="45" x14ac:dyDescent="0.25">
      <c r="B17" s="102"/>
      <c r="C17" s="76" t="s">
        <v>193</v>
      </c>
      <c r="D17" s="53"/>
      <c r="E17" s="81" t="s">
        <v>166</v>
      </c>
      <c r="F17" s="77" t="s">
        <v>174</v>
      </c>
      <c r="G17" s="77" t="s">
        <v>172</v>
      </c>
      <c r="H17" s="80" t="s">
        <v>165</v>
      </c>
      <c r="I17" s="77"/>
      <c r="J17" s="77"/>
      <c r="K17" s="76" t="s">
        <v>203</v>
      </c>
      <c r="L17" s="77" t="s">
        <v>204</v>
      </c>
      <c r="M17" s="80" t="s">
        <v>229</v>
      </c>
      <c r="N17" s="76" t="s">
        <v>206</v>
      </c>
      <c r="O17" s="77" t="s">
        <v>188</v>
      </c>
      <c r="P17" s="77" t="s">
        <v>228</v>
      </c>
      <c r="Q17" s="77" t="s">
        <v>223</v>
      </c>
      <c r="R17" s="76" t="s">
        <v>167</v>
      </c>
      <c r="S17" s="88" t="s">
        <v>162</v>
      </c>
      <c r="T17" s="88" t="s">
        <v>163</v>
      </c>
      <c r="U17" s="88" t="s">
        <v>217</v>
      </c>
      <c r="V17" s="88" t="s">
        <v>245</v>
      </c>
      <c r="W17" s="88" t="s">
        <v>168</v>
      </c>
      <c r="X17" s="77" t="s">
        <v>169</v>
      </c>
      <c r="Y17" s="77" t="s">
        <v>170</v>
      </c>
      <c r="Z17" s="80" t="s">
        <v>171</v>
      </c>
    </row>
    <row r="18" spans="2:29" x14ac:dyDescent="0.25">
      <c r="B18" s="102" t="s">
        <v>156</v>
      </c>
      <c r="C18" s="256">
        <v>0.05</v>
      </c>
      <c r="D18" s="65">
        <f>C18*1000</f>
        <v>50</v>
      </c>
      <c r="E18" s="78">
        <f>100%-H18</f>
        <v>0.6</v>
      </c>
      <c r="F18" s="82">
        <f>5%*H18</f>
        <v>2.0000000000000004E-2</v>
      </c>
      <c r="G18" s="82">
        <f>95%*H18</f>
        <v>0.38</v>
      </c>
      <c r="H18" s="83">
        <v>0.4</v>
      </c>
      <c r="I18" s="82"/>
      <c r="J18" s="82"/>
      <c r="K18" s="78">
        <f>100%-C18</f>
        <v>0.95</v>
      </c>
      <c r="L18" s="362">
        <f>(100%-(E18-E48))*K18</f>
        <v>0.85499999999999998</v>
      </c>
      <c r="M18" s="363">
        <f>(100%-(E18-E41))*K18</f>
        <v>0.47499999999999998</v>
      </c>
      <c r="N18" s="99">
        <f>18.8*G18-2.256*E18</f>
        <v>5.7904</v>
      </c>
      <c r="O18" s="97">
        <f>K48</f>
        <v>7.8019999999999996</v>
      </c>
      <c r="P18" s="97">
        <f>K41</f>
        <v>15.848400000000002</v>
      </c>
      <c r="Q18" s="97">
        <f>K34</f>
        <v>17.86</v>
      </c>
      <c r="R18" s="89">
        <f>100%-S18</f>
        <v>0.7</v>
      </c>
      <c r="S18" s="90">
        <v>0.3</v>
      </c>
      <c r="T18" s="90">
        <v>0.2</v>
      </c>
      <c r="U18" s="91">
        <v>2E-3</v>
      </c>
      <c r="V18" s="177">
        <v>1E-3</v>
      </c>
      <c r="W18" s="90">
        <f>SUM(X18:Z18)</f>
        <v>0.63</v>
      </c>
      <c r="X18" s="90">
        <v>0.25</v>
      </c>
      <c r="Y18" s="90">
        <v>0.26</v>
      </c>
      <c r="Z18" s="92">
        <v>0.12</v>
      </c>
      <c r="AA18" s="50"/>
    </row>
    <row r="19" spans="2:29" x14ac:dyDescent="0.25">
      <c r="B19" s="102" t="s">
        <v>157</v>
      </c>
      <c r="C19" s="256">
        <v>0.05</v>
      </c>
      <c r="D19" s="65">
        <f>C19*1000</f>
        <v>50</v>
      </c>
      <c r="E19" s="78">
        <f t="shared" ref="E19:E21" si="0">100%-H19</f>
        <v>0.58000000000000007</v>
      </c>
      <c r="F19" s="82">
        <f>8%*H19</f>
        <v>3.3599999999999998E-2</v>
      </c>
      <c r="G19" s="82">
        <f>92%*H19</f>
        <v>0.38640000000000002</v>
      </c>
      <c r="H19" s="83">
        <v>0.42</v>
      </c>
      <c r="I19" s="82"/>
      <c r="J19" s="82"/>
      <c r="K19" s="78">
        <f>100%-C19</f>
        <v>0.95</v>
      </c>
      <c r="L19" s="362">
        <f>(100%-(E19-E49))*K19</f>
        <v>0.87399999999999989</v>
      </c>
      <c r="M19" s="363">
        <f>(100%-(E19-E42))*K19</f>
        <v>0.49399999999999988</v>
      </c>
      <c r="N19" s="99">
        <f t="shared" ref="N19:N21" si="1">18.8*G19-2.256*E19</f>
        <v>5.9558400000000002</v>
      </c>
      <c r="O19" s="97">
        <f>K49</f>
        <v>7.5200000000000014</v>
      </c>
      <c r="P19" s="97">
        <f>K42</f>
        <v>15.340800000000002</v>
      </c>
      <c r="Q19" s="86">
        <f t="shared" ref="Q19:Q21" si="2">K35</f>
        <v>17.296000000000003</v>
      </c>
      <c r="R19" s="90">
        <f t="shared" ref="R19:R21" si="3">100%-S19</f>
        <v>0.6</v>
      </c>
      <c r="S19" s="93">
        <v>0.4</v>
      </c>
      <c r="T19" s="90">
        <v>0.2</v>
      </c>
      <c r="U19" s="91">
        <v>1E-3</v>
      </c>
      <c r="V19" s="177">
        <v>1E-3</v>
      </c>
      <c r="W19" s="90">
        <f>SUM(X19:Z19)</f>
        <v>0.95</v>
      </c>
      <c r="X19" s="90">
        <v>0.45</v>
      </c>
      <c r="Y19" s="90">
        <v>0.26</v>
      </c>
      <c r="Z19" s="92">
        <v>0.24</v>
      </c>
      <c r="AA19" s="51"/>
    </row>
    <row r="20" spans="2:29" x14ac:dyDescent="0.25">
      <c r="B20" s="102" t="s">
        <v>158</v>
      </c>
      <c r="C20" s="256">
        <v>0.15</v>
      </c>
      <c r="D20" s="65">
        <f>C20*1000</f>
        <v>150</v>
      </c>
      <c r="E20" s="78">
        <f t="shared" si="0"/>
        <v>0.92999999999999994</v>
      </c>
      <c r="F20" s="82">
        <f>15%*H20</f>
        <v>1.0500000000000001E-2</v>
      </c>
      <c r="G20" s="82">
        <f>85%*H20</f>
        <v>5.9500000000000004E-2</v>
      </c>
      <c r="H20" s="83">
        <v>7.0000000000000007E-2</v>
      </c>
      <c r="I20" s="82"/>
      <c r="J20" s="82"/>
      <c r="K20" s="78">
        <f>100%-C20</f>
        <v>0.85</v>
      </c>
      <c r="L20" s="362">
        <f>(100%-(E20-E50))*K20</f>
        <v>0.48450000000000004</v>
      </c>
      <c r="M20" s="363">
        <f>(100%-(E20-E43))*K20</f>
        <v>0.14450000000000002</v>
      </c>
      <c r="N20" s="99">
        <f t="shared" si="1"/>
        <v>-0.97947999999999946</v>
      </c>
      <c r="O20" s="97">
        <f>K50</f>
        <v>6.8620000000000001</v>
      </c>
      <c r="P20" s="97">
        <f>K43</f>
        <v>14.156400000000001</v>
      </c>
      <c r="Q20" s="86">
        <f t="shared" si="2"/>
        <v>15.98</v>
      </c>
      <c r="R20" s="90">
        <f t="shared" si="3"/>
        <v>0.7</v>
      </c>
      <c r="S20" s="93">
        <v>0.3</v>
      </c>
      <c r="T20" s="90">
        <v>0.15</v>
      </c>
      <c r="U20" s="91">
        <v>5.0000000000000001E-3</v>
      </c>
      <c r="V20" s="177">
        <v>1E-3</v>
      </c>
      <c r="W20" s="90">
        <f>SUM(X20:Z20)</f>
        <v>0.55000000000000004</v>
      </c>
      <c r="X20" s="90">
        <v>0.25</v>
      </c>
      <c r="Y20" s="90">
        <v>0.1</v>
      </c>
      <c r="Z20" s="92">
        <v>0.2</v>
      </c>
      <c r="AA20" s="52"/>
    </row>
    <row r="21" spans="2:29" x14ac:dyDescent="0.25">
      <c r="B21" s="103" t="s">
        <v>159</v>
      </c>
      <c r="C21" s="257">
        <v>0.05</v>
      </c>
      <c r="D21" s="65">
        <f>C21*1000</f>
        <v>50</v>
      </c>
      <c r="E21" s="79">
        <f t="shared" si="0"/>
        <v>0.59000000000000008</v>
      </c>
      <c r="F21" s="84">
        <f>AVERAGE(F18:F19)</f>
        <v>2.6800000000000001E-2</v>
      </c>
      <c r="G21" s="84">
        <f>AVERAGE(G18:G19)</f>
        <v>0.38319999999999999</v>
      </c>
      <c r="H21" s="85">
        <f>SUM(F21:G21)</f>
        <v>0.41</v>
      </c>
      <c r="I21" s="84"/>
      <c r="J21" s="84"/>
      <c r="K21" s="79">
        <f>100%-C21</f>
        <v>0.95</v>
      </c>
      <c r="L21" s="364">
        <f>(100%-(E21-E51))*K21</f>
        <v>0.86449999999999994</v>
      </c>
      <c r="M21" s="365">
        <f>(100%-(E21-E44))*K21</f>
        <v>0.48449999999999988</v>
      </c>
      <c r="N21" s="99">
        <f t="shared" si="1"/>
        <v>5.8731200000000001</v>
      </c>
      <c r="O21" s="98">
        <f>K51</f>
        <v>7.6610000000000014</v>
      </c>
      <c r="P21" s="98">
        <f>K44</f>
        <v>15.594600000000002</v>
      </c>
      <c r="Q21" s="87">
        <f t="shared" si="2"/>
        <v>17.578000000000003</v>
      </c>
      <c r="R21" s="90">
        <f t="shared" si="3"/>
        <v>0.7</v>
      </c>
      <c r="S21" s="93">
        <v>0.3</v>
      </c>
      <c r="T21" s="94">
        <v>0.2</v>
      </c>
      <c r="U21" s="95">
        <f>0.003</f>
        <v>3.0000000000000001E-3</v>
      </c>
      <c r="V21" s="178">
        <v>1E-3</v>
      </c>
      <c r="W21" s="94">
        <f>SUM(X21:Z21)</f>
        <v>0.71</v>
      </c>
      <c r="X21" s="94">
        <f>AVERAGE(X18:X20)</f>
        <v>0.31666666666666665</v>
      </c>
      <c r="Y21" s="94">
        <f t="shared" ref="Y21:Z21" si="4">AVERAGE(Y18:Y20)</f>
        <v>0.20666666666666667</v>
      </c>
      <c r="Z21" s="96">
        <f t="shared" si="4"/>
        <v>0.18666666666666668</v>
      </c>
      <c r="AA21" s="50"/>
    </row>
    <row r="22" spans="2:29" x14ac:dyDescent="0.25">
      <c r="B22" t="s">
        <v>205</v>
      </c>
      <c r="C22" s="75">
        <f ca="1">C18*Q6+C19*Q7+C20*Q8+C21*Q9</f>
        <v>5.7173913043478256E-2</v>
      </c>
      <c r="D22" s="73">
        <f t="shared" ref="D22" si="5">AVERAGE(D18:D21)</f>
        <v>75</v>
      </c>
      <c r="E22" s="74">
        <f ca="1">E18*Q6+E19*Q7+E20*Q8+E21*Q9</f>
        <v>0.61408695652173917</v>
      </c>
      <c r="F22" s="74">
        <f ca="1">F18*Q6+F19*Q7+F20*Q8+F21*Q9</f>
        <v>2.5837608695652173E-2</v>
      </c>
      <c r="G22" s="74">
        <f ca="1">G18*Q6+G19*Q7+G20*Q8+G21*Q9</f>
        <v>0.36007543478260867</v>
      </c>
      <c r="H22" s="74">
        <f ca="1">H18*Q6+H19*Q7+H20*Q8+H21*Q9</f>
        <v>0.38591304347826089</v>
      </c>
      <c r="I22" s="74"/>
      <c r="J22" s="74"/>
      <c r="K22" s="74">
        <f ca="1">K18*Q6+K19*Q7+K20*Q8+K21*Q9</f>
        <v>0.9428260869565217</v>
      </c>
      <c r="L22" s="74">
        <f ca="1">L18*Q6+L19*Q7+L20*Q8+L21*Q9</f>
        <v>0.83752826086956511</v>
      </c>
      <c r="M22" s="74">
        <f ca="1">M18*Q6+M19*Q7+M20*Q8+M21*Q9</f>
        <v>0.4603978260869564</v>
      </c>
      <c r="N22" s="100">
        <f ca="1">N18*Q6+N19*Q7+N20*Q8+N21*Q9</f>
        <v>5.3840379999999994</v>
      </c>
      <c r="O22" s="100">
        <f ca="1">O18*Q6+O19*Q7+O20*Q8+O21*Q9</f>
        <v>7.5993891304347816</v>
      </c>
      <c r="P22" s="100">
        <f ca="1">P18*Q6+P19*Q7+P20*Q8+P21*Q9</f>
        <v>15.483700434782609</v>
      </c>
      <c r="Q22" s="97">
        <f ca="1">Q18*Q6+Q19*Q7+Q20*Q8+Q21*Q9</f>
        <v>17.454778260869563</v>
      </c>
      <c r="R22" s="101">
        <f ca="1">R18*Q6+R19*Q7+R20*Q8+R21*Q9</f>
        <v>0.66724637681159416</v>
      </c>
      <c r="S22" s="101">
        <f ca="1">S18*Q6+S19*Q7+S20*Q8+S21*Q9</f>
        <v>0.33275362318840579</v>
      </c>
      <c r="T22" s="101">
        <f ca="1">T18*Q6+T19*Q7+T20*Q8+T21*Q9</f>
        <v>0.19641304347826083</v>
      </c>
      <c r="U22" s="139">
        <f ca="1">U18*Q6+U19*Q7+U20*Q8+U21*Q9</f>
        <v>2.1913043478260868E-3</v>
      </c>
      <c r="V22" s="139">
        <f ca="1">V18*Q6+V19*Q7+V20*Q8+V21*Q9</f>
        <v>1E-3</v>
      </c>
      <c r="W22" s="101">
        <f ca="1">W18*Q6+W19*Q7+W20*Q8+W21*Q9</f>
        <v>0.75336231884057958</v>
      </c>
      <c r="X22" s="101">
        <f ca="1">X18*Q6+X19*Q7+X20*Q8+X21*Q9</f>
        <v>0.33574879227053134</v>
      </c>
      <c r="Y22" s="101">
        <f ca="1">Y18*Q6+Y19*Q7+Y20*Q8+Y21*Q9</f>
        <v>0.23232850241545888</v>
      </c>
      <c r="Z22" s="101">
        <f ca="1">Z18*Q6+Z19*Q7+Z20*Q8+Z21*Q9</f>
        <v>0.18528502415458936</v>
      </c>
    </row>
    <row r="23" spans="2:29" x14ac:dyDescent="0.25">
      <c r="H23" s="46"/>
      <c r="I23" s="46"/>
      <c r="J23" s="46"/>
      <c r="K23" s="46"/>
    </row>
    <row r="24" spans="2:29" x14ac:dyDescent="0.25">
      <c r="G24" s="46"/>
      <c r="N24" s="170"/>
      <c r="AB24" s="72"/>
      <c r="AC24" s="72"/>
    </row>
    <row r="25" spans="2:29" x14ac:dyDescent="0.25">
      <c r="G25" s="46"/>
      <c r="P25" s="148"/>
    </row>
    <row r="26" spans="2:29" x14ac:dyDescent="0.25">
      <c r="G26" s="49"/>
      <c r="H26" s="43"/>
      <c r="I26" s="43"/>
      <c r="J26" s="43"/>
      <c r="K26" s="43"/>
      <c r="M26" t="s">
        <v>67</v>
      </c>
    </row>
    <row r="27" spans="2:29" x14ac:dyDescent="0.25">
      <c r="E27" s="72"/>
      <c r="G27" s="49"/>
      <c r="H27" s="43"/>
      <c r="I27" s="43"/>
      <c r="J27" s="43"/>
    </row>
    <row r="28" spans="2:29" x14ac:dyDescent="0.25">
      <c r="G28" s="49"/>
      <c r="H28" s="43"/>
      <c r="I28" s="43"/>
      <c r="J28" s="43"/>
    </row>
    <row r="29" spans="2:29" x14ac:dyDescent="0.25">
      <c r="G29" s="49"/>
      <c r="H29" s="43"/>
      <c r="I29" s="43"/>
      <c r="J29" s="43"/>
    </row>
    <row r="30" spans="2:29" x14ac:dyDescent="0.25">
      <c r="G30" s="49"/>
      <c r="H30" s="43"/>
      <c r="I30" s="43"/>
      <c r="J30" s="43"/>
    </row>
    <row r="33" spans="2:11" ht="45" x14ac:dyDescent="0.25">
      <c r="C33" s="62"/>
      <c r="D33" s="63" t="s">
        <v>173</v>
      </c>
      <c r="E33" s="64" t="s">
        <v>166</v>
      </c>
      <c r="F33" s="63" t="s">
        <v>174</v>
      </c>
      <c r="G33" s="63" t="s">
        <v>172</v>
      </c>
      <c r="H33" s="63" t="s">
        <v>165</v>
      </c>
      <c r="I33" s="63"/>
      <c r="J33" s="63"/>
      <c r="K33" s="64" t="s">
        <v>164</v>
      </c>
    </row>
    <row r="34" spans="2:11" x14ac:dyDescent="0.25">
      <c r="C34" s="62" t="s">
        <v>156</v>
      </c>
      <c r="D34" s="60">
        <v>0.05</v>
      </c>
      <c r="E34" s="60">
        <f>100%-H34</f>
        <v>0</v>
      </c>
      <c r="F34" s="60">
        <f>5%*H34</f>
        <v>0.05</v>
      </c>
      <c r="G34" s="60">
        <f>95%*H34</f>
        <v>0.95</v>
      </c>
      <c r="H34" s="60">
        <v>1</v>
      </c>
      <c r="I34" s="60"/>
      <c r="J34" s="60"/>
      <c r="K34" s="61">
        <f>18.8*G34-2.256*E34</f>
        <v>17.86</v>
      </c>
    </row>
    <row r="35" spans="2:11" x14ac:dyDescent="0.25">
      <c r="C35" s="62" t="s">
        <v>157</v>
      </c>
      <c r="D35" s="60">
        <v>0.05</v>
      </c>
      <c r="E35" s="60">
        <f t="shared" ref="E35:E37" si="6">100%-H35</f>
        <v>0</v>
      </c>
      <c r="F35" s="60">
        <f>8%*H35</f>
        <v>0.08</v>
      </c>
      <c r="G35" s="60">
        <f>92%*H35</f>
        <v>0.92</v>
      </c>
      <c r="H35" s="60">
        <v>1</v>
      </c>
      <c r="I35" s="60"/>
      <c r="J35" s="60"/>
      <c r="K35" s="61">
        <f>18.8*G35-2.256*E35</f>
        <v>17.296000000000003</v>
      </c>
    </row>
    <row r="36" spans="2:11" x14ac:dyDescent="0.25">
      <c r="C36" s="62" t="s">
        <v>158</v>
      </c>
      <c r="D36" s="60">
        <v>0.3</v>
      </c>
      <c r="E36" s="60">
        <f t="shared" si="6"/>
        <v>0</v>
      </c>
      <c r="F36" s="60">
        <f>15%*H36</f>
        <v>0.15</v>
      </c>
      <c r="G36" s="60">
        <f>85%*H36</f>
        <v>0.85</v>
      </c>
      <c r="H36" s="60">
        <v>1</v>
      </c>
      <c r="I36" s="60"/>
      <c r="J36" s="60"/>
      <c r="K36" s="61">
        <f>18.8*G36-2.256*E36</f>
        <v>15.98</v>
      </c>
    </row>
    <row r="37" spans="2:11" x14ac:dyDescent="0.25">
      <c r="B37" s="62"/>
      <c r="C37" s="62" t="s">
        <v>159</v>
      </c>
      <c r="D37" s="60">
        <v>0.05</v>
      </c>
      <c r="E37" s="60">
        <f t="shared" si="6"/>
        <v>0</v>
      </c>
      <c r="F37" s="60">
        <f>AVERAGE(F34:F35)</f>
        <v>6.5000000000000002E-2</v>
      </c>
      <c r="G37" s="60">
        <f>AVERAGE(G34:G35)</f>
        <v>0.93500000000000005</v>
      </c>
      <c r="H37" s="60">
        <v>1</v>
      </c>
      <c r="I37" s="60"/>
      <c r="J37" s="60"/>
      <c r="K37" s="61">
        <f>18.8*G37-2.256*E37</f>
        <v>17.578000000000003</v>
      </c>
    </row>
    <row r="38" spans="2:11" x14ac:dyDescent="0.25">
      <c r="B38" s="62"/>
    </row>
    <row r="39" spans="2:11" x14ac:dyDescent="0.25">
      <c r="B39" s="62"/>
    </row>
    <row r="40" spans="2:11" ht="45" x14ac:dyDescent="0.25">
      <c r="B40" s="62"/>
      <c r="C40" s="62"/>
      <c r="D40" s="63" t="s">
        <v>173</v>
      </c>
      <c r="E40" s="64" t="s">
        <v>166</v>
      </c>
      <c r="F40" s="63" t="s">
        <v>174</v>
      </c>
      <c r="G40" s="63" t="s">
        <v>172</v>
      </c>
      <c r="H40" s="63" t="s">
        <v>165</v>
      </c>
      <c r="I40" s="63"/>
      <c r="J40" s="63"/>
      <c r="K40" s="64" t="s">
        <v>164</v>
      </c>
    </row>
    <row r="41" spans="2:11" x14ac:dyDescent="0.25">
      <c r="B41" s="62"/>
      <c r="C41" s="62" t="s">
        <v>156</v>
      </c>
      <c r="D41" s="60">
        <v>0.05</v>
      </c>
      <c r="E41" s="60">
        <f>100%-H41</f>
        <v>9.9999999999999978E-2</v>
      </c>
      <c r="F41" s="60">
        <f>5%*H41</f>
        <v>4.5000000000000005E-2</v>
      </c>
      <c r="G41" s="60">
        <f>95%*H41</f>
        <v>0.85499999999999998</v>
      </c>
      <c r="H41" s="60">
        <v>0.9</v>
      </c>
      <c r="I41" s="60"/>
      <c r="J41" s="60"/>
      <c r="K41" s="61">
        <f>18.8*G41-2.256*E41</f>
        <v>15.848400000000002</v>
      </c>
    </row>
    <row r="42" spans="2:11" x14ac:dyDescent="0.25">
      <c r="C42" s="62" t="s">
        <v>157</v>
      </c>
      <c r="D42" s="60">
        <v>0.05</v>
      </c>
      <c r="E42" s="60">
        <f t="shared" ref="E42:E44" si="7">100%-H42</f>
        <v>9.9999999999999978E-2</v>
      </c>
      <c r="F42" s="60">
        <f>8%*H42</f>
        <v>7.2000000000000008E-2</v>
      </c>
      <c r="G42" s="60">
        <f>92%*H42</f>
        <v>0.82800000000000007</v>
      </c>
      <c r="H42" s="60">
        <v>0.9</v>
      </c>
      <c r="I42" s="60"/>
      <c r="J42" s="60"/>
      <c r="K42" s="61">
        <f>18.8*G42-2.256*E42</f>
        <v>15.340800000000002</v>
      </c>
    </row>
    <row r="43" spans="2:11" x14ac:dyDescent="0.25">
      <c r="C43" s="62" t="s">
        <v>158</v>
      </c>
      <c r="D43" s="60">
        <v>0.3</v>
      </c>
      <c r="E43" s="60">
        <f t="shared" si="7"/>
        <v>9.9999999999999978E-2</v>
      </c>
      <c r="F43" s="60">
        <f>15%*H43</f>
        <v>0.13500000000000001</v>
      </c>
      <c r="G43" s="60">
        <f>85%*H43</f>
        <v>0.76500000000000001</v>
      </c>
      <c r="H43" s="60">
        <v>0.9</v>
      </c>
      <c r="I43" s="60"/>
      <c r="J43" s="60"/>
      <c r="K43" s="61">
        <f>18.8*G43-2.256*E43</f>
        <v>14.156400000000001</v>
      </c>
    </row>
    <row r="44" spans="2:11" x14ac:dyDescent="0.25">
      <c r="C44" s="62" t="s">
        <v>159</v>
      </c>
      <c r="D44" s="60">
        <v>0.05</v>
      </c>
      <c r="E44" s="60">
        <f t="shared" si="7"/>
        <v>9.9999999999999978E-2</v>
      </c>
      <c r="F44" s="60">
        <f>AVERAGE(F41:F42)</f>
        <v>5.850000000000001E-2</v>
      </c>
      <c r="G44" s="60">
        <f>AVERAGE(G41:G42)</f>
        <v>0.84150000000000003</v>
      </c>
      <c r="H44" s="60">
        <v>0.9</v>
      </c>
      <c r="I44" s="60"/>
      <c r="J44" s="60"/>
      <c r="K44" s="61">
        <f>18.8*G44-2.256*E44</f>
        <v>15.594600000000002</v>
      </c>
    </row>
    <row r="47" spans="2:11" ht="45" x14ac:dyDescent="0.25">
      <c r="C47" s="62"/>
      <c r="D47" s="63" t="s">
        <v>173</v>
      </c>
      <c r="E47" s="64" t="s">
        <v>166</v>
      </c>
      <c r="F47" s="63" t="s">
        <v>174</v>
      </c>
      <c r="G47" s="63" t="s">
        <v>172</v>
      </c>
      <c r="H47" s="63" t="s">
        <v>165</v>
      </c>
      <c r="I47" s="63"/>
      <c r="J47" s="63"/>
      <c r="K47" s="64" t="s">
        <v>164</v>
      </c>
    </row>
    <row r="48" spans="2:11" x14ac:dyDescent="0.25">
      <c r="C48" s="62" t="s">
        <v>156</v>
      </c>
      <c r="D48" s="60">
        <v>0.05</v>
      </c>
      <c r="E48" s="60">
        <f>100%-H48</f>
        <v>0.5</v>
      </c>
      <c r="F48" s="60">
        <f>5%*H48</f>
        <v>2.5000000000000001E-2</v>
      </c>
      <c r="G48" s="60">
        <f>95%*H48</f>
        <v>0.47499999999999998</v>
      </c>
      <c r="H48" s="60">
        <v>0.5</v>
      </c>
      <c r="I48" s="60"/>
      <c r="J48" s="60"/>
      <c r="K48" s="61">
        <f>18.8*G48-2.256*E48</f>
        <v>7.8019999999999996</v>
      </c>
    </row>
    <row r="49" spans="3:11" x14ac:dyDescent="0.25">
      <c r="C49" s="62" t="s">
        <v>157</v>
      </c>
      <c r="D49" s="60">
        <v>0.05</v>
      </c>
      <c r="E49" s="60">
        <f t="shared" ref="E49:E51" si="8">100%-H49</f>
        <v>0.5</v>
      </c>
      <c r="F49" s="60">
        <f>8%*H49</f>
        <v>0.04</v>
      </c>
      <c r="G49" s="60">
        <f>92%*H49</f>
        <v>0.46</v>
      </c>
      <c r="H49" s="60">
        <v>0.5</v>
      </c>
      <c r="I49" s="60"/>
      <c r="J49" s="60"/>
      <c r="K49" s="61">
        <f>18.8*G49-2.256*E49</f>
        <v>7.5200000000000014</v>
      </c>
    </row>
    <row r="50" spans="3:11" x14ac:dyDescent="0.25">
      <c r="C50" s="62" t="s">
        <v>158</v>
      </c>
      <c r="D50" s="60">
        <v>0.3</v>
      </c>
      <c r="E50" s="60">
        <f t="shared" si="8"/>
        <v>0.5</v>
      </c>
      <c r="F50" s="60">
        <f>15%*H50</f>
        <v>7.4999999999999997E-2</v>
      </c>
      <c r="G50" s="60">
        <f>85%*H50</f>
        <v>0.42499999999999999</v>
      </c>
      <c r="H50" s="60">
        <v>0.5</v>
      </c>
      <c r="I50" s="60"/>
      <c r="J50" s="60"/>
      <c r="K50" s="61">
        <f>18.8*G50-2.256*E50</f>
        <v>6.8620000000000001</v>
      </c>
    </row>
    <row r="51" spans="3:11" x14ac:dyDescent="0.25">
      <c r="C51" s="62" t="s">
        <v>159</v>
      </c>
      <c r="D51" s="60">
        <v>0.05</v>
      </c>
      <c r="E51" s="60">
        <f t="shared" si="8"/>
        <v>0.5</v>
      </c>
      <c r="F51" s="60">
        <f>AVERAGE(F48:F49)</f>
        <v>3.2500000000000001E-2</v>
      </c>
      <c r="G51" s="60">
        <f>AVERAGE(G48:G49)</f>
        <v>0.46750000000000003</v>
      </c>
      <c r="H51" s="60">
        <v>0.5</v>
      </c>
      <c r="I51" s="60"/>
      <c r="J51" s="60"/>
      <c r="K51" s="61">
        <f>18.8*G51-2.256*E51</f>
        <v>7.6610000000000014</v>
      </c>
    </row>
  </sheetData>
  <mergeCells count="23">
    <mergeCell ref="K7:K8"/>
    <mergeCell ref="K4:K5"/>
    <mergeCell ref="R4:S4"/>
    <mergeCell ref="C16:D16"/>
    <mergeCell ref="K2:K3"/>
    <mergeCell ref="A9:C9"/>
    <mergeCell ref="A4:A5"/>
    <mergeCell ref="A6:B6"/>
    <mergeCell ref="H4:H5"/>
    <mergeCell ref="I7:I8"/>
    <mergeCell ref="A2:A3"/>
    <mergeCell ref="B2:B3"/>
    <mergeCell ref="C2:F2"/>
    <mergeCell ref="A7:A8"/>
    <mergeCell ref="G7:G8"/>
    <mergeCell ref="C4:E4"/>
    <mergeCell ref="C5:E5"/>
    <mergeCell ref="E6:F6"/>
    <mergeCell ref="H7:H8"/>
    <mergeCell ref="G4:G5"/>
    <mergeCell ref="I4:I5"/>
    <mergeCell ref="C7:F7"/>
    <mergeCell ref="C8:F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opLeftCell="B1" zoomScale="70" zoomScaleNormal="70" workbookViewId="0">
      <selection activeCell="H39" sqref="H39"/>
    </sheetView>
  </sheetViews>
  <sheetFormatPr defaultRowHeight="15" x14ac:dyDescent="0.25"/>
  <cols>
    <col min="4" max="4" width="12.7109375" bestFit="1" customWidth="1"/>
    <col min="5" max="5" width="12.42578125" bestFit="1" customWidth="1"/>
    <col min="8" max="8" width="12.85546875" bestFit="1" customWidth="1"/>
    <col min="9" max="9" width="12.42578125" bestFit="1" customWidth="1"/>
    <col min="15" max="15" width="22.42578125" bestFit="1" customWidth="1"/>
    <col min="16" max="16" width="18.42578125" bestFit="1" customWidth="1"/>
    <col min="19" max="19" width="19.28515625" bestFit="1" customWidth="1"/>
    <col min="20" max="20" width="19.7109375" customWidth="1"/>
  </cols>
  <sheetData>
    <row r="1" spans="1:21" x14ac:dyDescent="0.25">
      <c r="A1" s="179"/>
    </row>
    <row r="6" spans="1:21" x14ac:dyDescent="0.25">
      <c r="C6" s="374" t="s">
        <v>348</v>
      </c>
      <c r="D6" s="374"/>
      <c r="E6" s="374"/>
      <c r="F6" s="374"/>
      <c r="G6" s="374"/>
      <c r="H6" s="375" t="s">
        <v>352</v>
      </c>
      <c r="I6" s="376" t="s">
        <v>350</v>
      </c>
      <c r="J6" t="s">
        <v>67</v>
      </c>
      <c r="P6" s="705" t="s">
        <v>351</v>
      </c>
      <c r="Q6" s="706"/>
      <c r="R6" s="707"/>
      <c r="S6" s="375" t="s">
        <v>352</v>
      </c>
      <c r="T6" s="379" t="s">
        <v>349</v>
      </c>
      <c r="U6" s="380" t="s">
        <v>67</v>
      </c>
    </row>
    <row r="7" spans="1:21" ht="30" x14ac:dyDescent="0.25">
      <c r="C7" s="704" t="s">
        <v>247</v>
      </c>
      <c r="D7" s="704"/>
      <c r="E7" s="704"/>
      <c r="F7" s="704"/>
      <c r="G7" s="704"/>
      <c r="H7" s="704"/>
      <c r="I7" s="704"/>
      <c r="P7" s="371" t="s">
        <v>356</v>
      </c>
      <c r="Q7" s="710" t="s">
        <v>358</v>
      </c>
      <c r="R7" s="711"/>
      <c r="S7" s="372" t="s">
        <v>218</v>
      </c>
      <c r="T7" s="372" t="s">
        <v>365</v>
      </c>
    </row>
    <row r="8" spans="1:21" x14ac:dyDescent="0.25">
      <c r="C8" s="360" t="s">
        <v>257</v>
      </c>
      <c r="D8" s="133">
        <v>75623</v>
      </c>
      <c r="E8" s="377" t="s">
        <v>347</v>
      </c>
      <c r="F8" s="701"/>
      <c r="G8" s="360" t="s">
        <v>345</v>
      </c>
      <c r="H8" s="133">
        <v>13682</v>
      </c>
      <c r="I8" s="377" t="s">
        <v>347</v>
      </c>
      <c r="P8" s="1" t="s">
        <v>167</v>
      </c>
      <c r="Q8" s="712">
        <v>0.65</v>
      </c>
      <c r="R8" s="713"/>
      <c r="S8" s="373">
        <v>50</v>
      </c>
      <c r="T8" s="382">
        <f>S8/Q8</f>
        <v>76.92307692307692</v>
      </c>
    </row>
    <row r="9" spans="1:21" x14ac:dyDescent="0.25">
      <c r="C9" s="1" t="s">
        <v>127</v>
      </c>
      <c r="D9" s="373">
        <v>9336222</v>
      </c>
      <c r="E9" s="378">
        <f>D9/D8</f>
        <v>123.45744019676553</v>
      </c>
      <c r="F9" s="702"/>
      <c r="G9" s="1" t="s">
        <v>127</v>
      </c>
      <c r="H9" s="373">
        <v>16152676</v>
      </c>
      <c r="I9" s="378">
        <f>H9/H8</f>
        <v>1180.5785703844467</v>
      </c>
      <c r="P9" s="1" t="s">
        <v>162</v>
      </c>
      <c r="Q9" s="712">
        <v>0.27</v>
      </c>
      <c r="R9" s="713"/>
      <c r="S9" s="373">
        <v>45</v>
      </c>
      <c r="T9" s="373">
        <f>S9/Q9</f>
        <v>166.66666666666666</v>
      </c>
    </row>
    <row r="10" spans="1:21" x14ac:dyDescent="0.25">
      <c r="C10" s="1" t="s">
        <v>256</v>
      </c>
      <c r="D10" s="373">
        <v>11343510</v>
      </c>
      <c r="E10" s="378">
        <f>D10/D8</f>
        <v>150.00079340941247</v>
      </c>
      <c r="F10" s="702"/>
      <c r="G10" s="1" t="s">
        <v>256</v>
      </c>
      <c r="H10" s="373">
        <v>10261700</v>
      </c>
      <c r="I10" s="381">
        <f>H10/H8</f>
        <v>750.01461774594361</v>
      </c>
      <c r="P10" s="1" t="s">
        <v>163</v>
      </c>
      <c r="Q10" s="712">
        <v>7.4999999999999997E-2</v>
      </c>
      <c r="R10" s="713"/>
      <c r="S10" s="373">
        <v>135</v>
      </c>
      <c r="T10" s="373">
        <f>S10/Q10</f>
        <v>1800</v>
      </c>
    </row>
    <row r="11" spans="1:21" x14ac:dyDescent="0.25">
      <c r="C11" s="360" t="s">
        <v>344</v>
      </c>
      <c r="D11" s="133">
        <v>67221</v>
      </c>
      <c r="E11" s="377" t="s">
        <v>347</v>
      </c>
      <c r="F11" s="702"/>
      <c r="G11" s="360" t="s">
        <v>258</v>
      </c>
      <c r="H11" s="133">
        <v>75623</v>
      </c>
      <c r="I11" s="377" t="s">
        <v>347</v>
      </c>
      <c r="P11" s="1" t="s">
        <v>360</v>
      </c>
      <c r="Q11" s="716">
        <v>2.9999999999999997E-4</v>
      </c>
      <c r="R11" s="717"/>
      <c r="S11" s="373">
        <v>46</v>
      </c>
      <c r="T11" s="373">
        <f>S11/Q11</f>
        <v>153333.33333333334</v>
      </c>
    </row>
    <row r="12" spans="1:21" x14ac:dyDescent="0.25">
      <c r="C12" s="1" t="s">
        <v>127</v>
      </c>
      <c r="D12" s="373">
        <v>79357887</v>
      </c>
      <c r="E12" s="378">
        <f>D12/D11</f>
        <v>1180.552014995314</v>
      </c>
      <c r="F12" s="702"/>
      <c r="G12" s="1" t="s">
        <v>127</v>
      </c>
      <c r="H12" s="373">
        <v>37344888</v>
      </c>
      <c r="I12" s="378">
        <f>H12/H11</f>
        <v>493.82976078706213</v>
      </c>
      <c r="P12" s="1"/>
      <c r="Q12" s="714">
        <f>SUM(Q8:Q11)</f>
        <v>0.99529999999999996</v>
      </c>
      <c r="R12" s="715"/>
      <c r="S12" s="1"/>
      <c r="T12" s="1"/>
    </row>
    <row r="13" spans="1:21" x14ac:dyDescent="0.25">
      <c r="C13" s="1" t="s">
        <v>256</v>
      </c>
      <c r="D13" s="373">
        <v>50415599</v>
      </c>
      <c r="E13" s="378">
        <f>D13/D11</f>
        <v>749.99775367816608</v>
      </c>
      <c r="F13" s="703"/>
      <c r="G13" s="1" t="s">
        <v>256</v>
      </c>
      <c r="H13" s="373">
        <v>30249359</v>
      </c>
      <c r="I13" s="378">
        <f>H13/H11</f>
        <v>400.00210253494305</v>
      </c>
      <c r="P13" s="1" t="s">
        <v>221</v>
      </c>
      <c r="Q13" s="712">
        <f>(1-'Data - samenstelling'!C18)*'Data - samenstelling'!H18*'Data - samenstelling'!Z18</f>
        <v>4.5600000000000002E-2</v>
      </c>
      <c r="R13" s="713"/>
      <c r="S13" s="373">
        <v>225</v>
      </c>
      <c r="T13" s="386">
        <f>S13/Q13</f>
        <v>4934.2105263157891</v>
      </c>
    </row>
    <row r="14" spans="1:21" x14ac:dyDescent="0.25">
      <c r="C14" s="704" t="s">
        <v>346</v>
      </c>
      <c r="D14" s="704"/>
      <c r="E14" s="704"/>
      <c r="F14" s="704"/>
      <c r="G14" s="704"/>
      <c r="H14" s="704"/>
      <c r="I14" s="704"/>
    </row>
    <row r="15" spans="1:21" x14ac:dyDescent="0.25">
      <c r="C15" s="360" t="s">
        <v>257</v>
      </c>
      <c r="D15" s="133">
        <v>1791</v>
      </c>
      <c r="E15" s="377" t="s">
        <v>347</v>
      </c>
      <c r="F15" s="701"/>
      <c r="G15" s="360" t="s">
        <v>345</v>
      </c>
      <c r="H15" s="133">
        <v>1791</v>
      </c>
      <c r="I15" s="377" t="s">
        <v>347</v>
      </c>
    </row>
    <row r="16" spans="1:21" x14ac:dyDescent="0.25">
      <c r="C16" s="1" t="s">
        <v>127</v>
      </c>
      <c r="D16" s="373">
        <v>5489917</v>
      </c>
      <c r="E16" s="378">
        <f>D16/D15</f>
        <v>3065.2802903405918</v>
      </c>
      <c r="F16" s="702"/>
      <c r="G16" s="1" t="s">
        <v>127</v>
      </c>
      <c r="H16" s="373">
        <v>5489917</v>
      </c>
      <c r="I16" s="378">
        <f>H16/H15</f>
        <v>3065.2802903405918</v>
      </c>
      <c r="O16" s="705" t="s">
        <v>351</v>
      </c>
      <c r="P16" s="706"/>
      <c r="Q16" s="706"/>
      <c r="R16" s="707"/>
      <c r="S16" s="375" t="s">
        <v>352</v>
      </c>
      <c r="T16" s="379" t="s">
        <v>353</v>
      </c>
      <c r="U16" t="s">
        <v>67</v>
      </c>
    </row>
    <row r="17" spans="3:20" x14ac:dyDescent="0.25">
      <c r="C17" s="1" t="s">
        <v>256</v>
      </c>
      <c r="D17" s="373">
        <v>716520</v>
      </c>
      <c r="E17" s="378">
        <f>D17/D15</f>
        <v>400.06700167504187</v>
      </c>
      <c r="F17" s="702"/>
      <c r="G17" s="1" t="s">
        <v>256</v>
      </c>
      <c r="H17" s="373">
        <v>1791299</v>
      </c>
      <c r="I17" s="381">
        <f>H17/H15</f>
        <v>1000.1669458403127</v>
      </c>
      <c r="O17" s="371" t="s">
        <v>356</v>
      </c>
      <c r="P17" s="708" t="s">
        <v>354</v>
      </c>
      <c r="Q17" s="709"/>
      <c r="R17" s="371" t="s">
        <v>362</v>
      </c>
      <c r="S17" s="385" t="s">
        <v>358</v>
      </c>
      <c r="T17" s="372" t="s">
        <v>363</v>
      </c>
    </row>
    <row r="18" spans="3:20" x14ac:dyDescent="0.25">
      <c r="C18" s="360" t="s">
        <v>344</v>
      </c>
      <c r="D18" s="133">
        <v>1791</v>
      </c>
      <c r="E18" s="377" t="s">
        <v>347</v>
      </c>
      <c r="F18" s="702"/>
      <c r="G18" s="360" t="s">
        <v>258</v>
      </c>
      <c r="H18" s="133">
        <v>1791</v>
      </c>
      <c r="I18" s="377" t="s">
        <v>347</v>
      </c>
      <c r="O18" s="1" t="s">
        <v>346</v>
      </c>
      <c r="P18" s="705" t="s">
        <v>359</v>
      </c>
      <c r="Q18" s="707"/>
      <c r="R18" s="373">
        <v>350</v>
      </c>
      <c r="S18" s="387">
        <v>0.36</v>
      </c>
      <c r="T18" s="383">
        <f>R18/S18</f>
        <v>972.22222222222229</v>
      </c>
    </row>
    <row r="19" spans="3:20" x14ac:dyDescent="0.25">
      <c r="C19" s="1" t="s">
        <v>127</v>
      </c>
      <c r="D19" s="373">
        <v>5489917</v>
      </c>
      <c r="E19" s="378">
        <f>D19/D18</f>
        <v>3065.2802903405918</v>
      </c>
      <c r="F19" s="702"/>
      <c r="G19" s="1" t="s">
        <v>127</v>
      </c>
      <c r="H19" s="373">
        <v>5489917</v>
      </c>
      <c r="I19" s="378">
        <f>H19/H18</f>
        <v>3065.2802903405918</v>
      </c>
      <c r="O19" s="1" t="s">
        <v>357</v>
      </c>
      <c r="P19" s="705" t="s">
        <v>355</v>
      </c>
      <c r="Q19" s="707"/>
      <c r="R19" s="373">
        <v>100</v>
      </c>
      <c r="S19" s="387">
        <v>0.32</v>
      </c>
      <c r="T19" s="384">
        <f>R19/S19</f>
        <v>312.5</v>
      </c>
    </row>
    <row r="20" spans="3:20" x14ac:dyDescent="0.25">
      <c r="C20" s="1" t="s">
        <v>256</v>
      </c>
      <c r="D20" s="373">
        <v>1791299</v>
      </c>
      <c r="E20" s="378">
        <f>D20/D18</f>
        <v>1000.1669458403127</v>
      </c>
      <c r="F20" s="703"/>
      <c r="G20" s="1" t="s">
        <v>256</v>
      </c>
      <c r="H20" s="373">
        <v>716520</v>
      </c>
      <c r="I20" s="378">
        <f>H20/H18</f>
        <v>400.06700167504187</v>
      </c>
      <c r="O20" s="1" t="s">
        <v>361</v>
      </c>
      <c r="P20" s="705" t="s">
        <v>364</v>
      </c>
      <c r="Q20" s="707"/>
      <c r="R20" s="373">
        <v>850</v>
      </c>
      <c r="S20" s="387">
        <v>0.25</v>
      </c>
      <c r="T20" s="384">
        <f>R20/S20</f>
        <v>3400</v>
      </c>
    </row>
    <row r="35" spans="8:8" x14ac:dyDescent="0.25">
      <c r="H35" s="42"/>
    </row>
  </sheetData>
  <mergeCells count="17">
    <mergeCell ref="Q8:R8"/>
    <mergeCell ref="F15:F20"/>
    <mergeCell ref="C7:I7"/>
    <mergeCell ref="C14:I14"/>
    <mergeCell ref="F8:F13"/>
    <mergeCell ref="P6:R6"/>
    <mergeCell ref="P18:Q18"/>
    <mergeCell ref="O16:R16"/>
    <mergeCell ref="P17:Q17"/>
    <mergeCell ref="P20:Q20"/>
    <mergeCell ref="P19:Q19"/>
    <mergeCell ref="Q7:R7"/>
    <mergeCell ref="Q13:R13"/>
    <mergeCell ref="Q12:R12"/>
    <mergeCell ref="Q11:R11"/>
    <mergeCell ref="Q10:R10"/>
    <mergeCell ref="Q9:R9"/>
  </mergeCells>
  <hyperlinks>
    <hyperlink ref="I6" r:id="rId1"/>
    <hyperlink ref="T6" r:id="rId2"/>
    <hyperlink ref="T16" r:id="rId3"/>
  </hyperlinks>
  <pageMargins left="0.7" right="0.7" top="0.75" bottom="0.75" header="0.3" footer="0.3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1"/>
  <sheetViews>
    <sheetView topLeftCell="A10" workbookViewId="0">
      <selection activeCell="E20" sqref="E20"/>
    </sheetView>
  </sheetViews>
  <sheetFormatPr defaultRowHeight="15" x14ac:dyDescent="0.25"/>
  <cols>
    <col min="2" max="2" width="9.5703125" bestFit="1" customWidth="1"/>
    <col min="3" max="3" width="32.85546875" bestFit="1" customWidth="1"/>
    <col min="4" max="4" width="24.140625" bestFit="1" customWidth="1"/>
    <col min="5" max="5" width="32.85546875" bestFit="1" customWidth="1"/>
  </cols>
  <sheetData>
    <row r="5" spans="2:6" x14ac:dyDescent="0.25">
      <c r="C5" t="s">
        <v>387</v>
      </c>
      <c r="D5" t="s">
        <v>388</v>
      </c>
      <c r="E5" t="s">
        <v>389</v>
      </c>
    </row>
    <row r="6" spans="2:6" x14ac:dyDescent="0.25">
      <c r="C6" s="29">
        <v>2000</v>
      </c>
      <c r="D6" s="406">
        <v>905</v>
      </c>
      <c r="E6" s="406">
        <v>1943</v>
      </c>
    </row>
    <row r="7" spans="2:6" x14ac:dyDescent="0.25">
      <c r="B7" t="s">
        <v>386</v>
      </c>
      <c r="C7" s="29">
        <v>2005</v>
      </c>
      <c r="D7" s="406">
        <v>980</v>
      </c>
      <c r="E7" s="406">
        <v>1965</v>
      </c>
      <c r="F7">
        <f>11.1</f>
        <v>11.1</v>
      </c>
    </row>
    <row r="8" spans="2:6" x14ac:dyDescent="0.25">
      <c r="C8" s="29">
        <v>2010</v>
      </c>
      <c r="D8" s="406">
        <v>951</v>
      </c>
      <c r="E8" s="406">
        <v>2423</v>
      </c>
    </row>
    <row r="9" spans="2:6" x14ac:dyDescent="0.25">
      <c r="C9" s="29">
        <v>2011</v>
      </c>
      <c r="D9" s="406">
        <v>939</v>
      </c>
      <c r="E9" s="406">
        <v>2617</v>
      </c>
    </row>
    <row r="10" spans="2:6" x14ac:dyDescent="0.25">
      <c r="C10" s="29">
        <v>2016</v>
      </c>
      <c r="D10" s="406">
        <v>936</v>
      </c>
      <c r="E10" s="406">
        <v>2671</v>
      </c>
    </row>
    <row r="11" spans="2:6" x14ac:dyDescent="0.25">
      <c r="C11" s="282">
        <v>2017</v>
      </c>
      <c r="D11" s="407">
        <v>928</v>
      </c>
      <c r="E11" s="407">
        <v>2645</v>
      </c>
    </row>
    <row r="12" spans="2:6" x14ac:dyDescent="0.25">
      <c r="C12" t="s">
        <v>390</v>
      </c>
      <c r="D12" s="406">
        <f>AVERAGE(D6:D11)</f>
        <v>939.83333333333337</v>
      </c>
      <c r="E12" s="406">
        <f>AVERAGE(E6:E11)</f>
        <v>2377.3333333333335</v>
      </c>
    </row>
    <row r="13" spans="2:6" x14ac:dyDescent="0.25">
      <c r="C13" t="s">
        <v>394</v>
      </c>
      <c r="D13" s="721">
        <f>E16/D16</f>
        <v>2.5295265117928709</v>
      </c>
      <c r="E13" s="721"/>
    </row>
    <row r="14" spans="2:6" x14ac:dyDescent="0.25">
      <c r="D14" s="203"/>
      <c r="E14" s="203"/>
    </row>
    <row r="15" spans="2:6" x14ac:dyDescent="0.25">
      <c r="C15" t="s">
        <v>391</v>
      </c>
      <c r="D15" s="718">
        <v>11.1</v>
      </c>
      <c r="E15" s="718"/>
    </row>
    <row r="16" spans="2:6" x14ac:dyDescent="0.25">
      <c r="D16" s="404">
        <f>D12*D15*1000</f>
        <v>10432150</v>
      </c>
      <c r="E16" s="404">
        <f>E12*D15*1000</f>
        <v>26388400</v>
      </c>
    </row>
    <row r="17" spans="3:5" x14ac:dyDescent="0.25">
      <c r="C17" t="s">
        <v>392</v>
      </c>
      <c r="D17" s="719">
        <f>15%</f>
        <v>0.15</v>
      </c>
      <c r="E17" s="719"/>
    </row>
    <row r="18" spans="3:5" x14ac:dyDescent="0.25">
      <c r="C18" t="s">
        <v>393</v>
      </c>
      <c r="D18" s="405">
        <f>D16/D17</f>
        <v>69547666.666666672</v>
      </c>
      <c r="E18" s="405">
        <f>E16/D17</f>
        <v>175922666.66666669</v>
      </c>
    </row>
    <row r="19" spans="3:5" x14ac:dyDescent="0.25">
      <c r="C19" t="s">
        <v>401</v>
      </c>
      <c r="D19" s="720">
        <v>0.4</v>
      </c>
      <c r="E19" s="681"/>
    </row>
    <row r="20" spans="3:5" x14ac:dyDescent="0.25">
      <c r="C20" t="s">
        <v>400</v>
      </c>
      <c r="D20" s="405">
        <f>D16/D19</f>
        <v>26080375</v>
      </c>
      <c r="E20" s="405">
        <f>E16/D19</f>
        <v>65971000</v>
      </c>
    </row>
    <row r="22" spans="3:5" x14ac:dyDescent="0.25">
      <c r="C22" t="s">
        <v>19</v>
      </c>
    </row>
    <row r="23" spans="3:5" x14ac:dyDescent="0.25">
      <c r="C23" s="408" t="s">
        <v>396</v>
      </c>
      <c r="D23" s="451">
        <v>26000</v>
      </c>
    </row>
    <row r="24" spans="3:5" x14ac:dyDescent="0.25">
      <c r="C24" s="408" t="s">
        <v>395</v>
      </c>
      <c r="D24" s="452">
        <v>66794</v>
      </c>
    </row>
    <row r="25" spans="3:5" x14ac:dyDescent="0.25">
      <c r="C25" s="408" t="s">
        <v>399</v>
      </c>
      <c r="D25" s="453">
        <f>SUM(D23:D24)</f>
        <v>92794</v>
      </c>
      <c r="E25" s="409"/>
    </row>
    <row r="26" spans="3:5" x14ac:dyDescent="0.25">
      <c r="C26" t="s">
        <v>161</v>
      </c>
      <c r="D26" s="451"/>
    </row>
    <row r="27" spans="3:5" x14ac:dyDescent="0.25">
      <c r="C27" s="408" t="s">
        <v>397</v>
      </c>
      <c r="D27" s="451">
        <v>265000</v>
      </c>
    </row>
    <row r="28" spans="3:5" x14ac:dyDescent="0.25">
      <c r="C28" s="408" t="s">
        <v>398</v>
      </c>
      <c r="D28" s="452">
        <v>96000</v>
      </c>
    </row>
    <row r="29" spans="3:5" x14ac:dyDescent="0.25">
      <c r="C29" s="408" t="s">
        <v>402</v>
      </c>
      <c r="D29" s="453">
        <f>D27-D28</f>
        <v>169000</v>
      </c>
    </row>
    <row r="30" spans="3:5" x14ac:dyDescent="0.25">
      <c r="C30" s="408"/>
    </row>
    <row r="31" spans="3:5" x14ac:dyDescent="0.25">
      <c r="C31" s="29" t="s">
        <v>20</v>
      </c>
    </row>
  </sheetData>
  <mergeCells count="4">
    <mergeCell ref="D15:E15"/>
    <mergeCell ref="D17:E17"/>
    <mergeCell ref="D19:E19"/>
    <mergeCell ref="D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5</vt:i4>
      </vt:variant>
    </vt:vector>
  </HeadingPairs>
  <TitlesOfParts>
    <vt:vector size="11" baseType="lpstr">
      <vt:lpstr>Matrix &amp; data</vt:lpstr>
      <vt:lpstr>Matrix - score</vt:lpstr>
      <vt:lpstr>Bruto toegevoegde waarde</vt:lpstr>
      <vt:lpstr>Data - samenstelling</vt:lpstr>
      <vt:lpstr>Data - kosten &amp; opbrengsten</vt:lpstr>
      <vt:lpstr>CBS Data</vt:lpstr>
      <vt:lpstr>'Matrix - score'!Afdrukbereik</vt:lpstr>
      <vt:lpstr>Score_1</vt:lpstr>
      <vt:lpstr>Score_2</vt:lpstr>
      <vt:lpstr>Score_3</vt:lpstr>
      <vt:lpstr>Score_4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2019-06-19T06:50:18Z</dcterms:modified>
</cp:coreProperties>
</file>